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intz\Documents\ANL docs\Clean Cities\RNG\RNG Database\"/>
    </mc:Choice>
  </mc:AlternateContent>
  <bookViews>
    <workbookView xWindow="0" yWindow="0" windowWidth="28800" windowHeight="12465" activeTab="5"/>
  </bookViews>
  <sheets>
    <sheet name="Overview" sheetId="12" r:id="rId1"/>
    <sheet name="Farms and Ag" sheetId="1" r:id="rId2"/>
    <sheet name="Food Waste" sheetId="2" r:id="rId3"/>
    <sheet name="Landfills" sheetId="3" r:id="rId4"/>
    <sheet name="WWT" sheetId="4" r:id="rId5"/>
    <sheet name="Totals " sheetId="6" r:id="rId6"/>
    <sheet name="OPERATIONAL PROJECTS LIST" sheetId="10" r:id="rId7"/>
    <sheet name="List Values" sheetId="7" r:id="rId8"/>
    <sheet name="Reference Notes" sheetId="8" r:id="rId9"/>
  </sheets>
  <externalReferences>
    <externalReference r:id="rId10"/>
    <externalReference r:id="rId11"/>
    <externalReference r:id="rId1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6" l="1"/>
  <c r="G98" i="12" l="1"/>
  <c r="F10" i="6"/>
  <c r="E10" i="6"/>
  <c r="F5" i="6"/>
  <c r="F6" i="6"/>
  <c r="F7" i="6"/>
  <c r="F8" i="6"/>
  <c r="F9" i="6"/>
  <c r="F4" i="6"/>
  <c r="E5" i="6"/>
  <c r="E6" i="6"/>
  <c r="E7" i="6"/>
  <c r="E8" i="6"/>
  <c r="E9" i="6"/>
  <c r="E4" i="6"/>
  <c r="D56" i="6" l="1"/>
  <c r="C53" i="6"/>
  <c r="D43" i="6"/>
  <c r="D45" i="6"/>
  <c r="F45" i="6" s="1"/>
  <c r="C42" i="6"/>
  <c r="B41" i="6"/>
  <c r="C41" i="6"/>
  <c r="B34" i="6"/>
  <c r="B45" i="6"/>
  <c r="E45" i="6" s="1"/>
  <c r="B19" i="6"/>
  <c r="B17" i="6"/>
  <c r="B18" i="6"/>
  <c r="B16" i="6"/>
  <c r="B42" i="6"/>
  <c r="B40" i="6"/>
  <c r="B39" i="6"/>
  <c r="N7" i="6"/>
  <c r="K7" i="6"/>
  <c r="K6" i="6"/>
  <c r="K5" i="6"/>
  <c r="K4" i="6"/>
  <c r="B7" i="6"/>
  <c r="B13" i="6"/>
  <c r="O75" i="3" l="1"/>
  <c r="O71" i="3"/>
  <c r="O59" i="3"/>
  <c r="F102" i="10" l="1"/>
  <c r="G9" i="6" l="1"/>
  <c r="AA25" i="2" l="1"/>
  <c r="B4" i="6" l="1"/>
  <c r="C4" i="6"/>
  <c r="D4" i="6"/>
  <c r="B5" i="6"/>
  <c r="B29" i="6" s="1"/>
  <c r="C5" i="6"/>
  <c r="D5" i="6"/>
  <c r="B6" i="6"/>
  <c r="C6" i="6"/>
  <c r="D6" i="6"/>
  <c r="B31" i="6"/>
  <c r="C7" i="6"/>
  <c r="D7" i="6"/>
  <c r="M4" i="6"/>
  <c r="N4" i="6"/>
  <c r="M5" i="6"/>
  <c r="N5" i="6"/>
  <c r="M6" i="6"/>
  <c r="N6" i="6"/>
  <c r="B23" i="6"/>
  <c r="B24" i="6"/>
  <c r="C28" i="6"/>
  <c r="D28" i="6" s="1"/>
  <c r="D29" i="6"/>
  <c r="C30" i="6"/>
  <c r="D30" i="6" s="1"/>
  <c r="C31" i="6"/>
  <c r="D31" i="6" s="1"/>
  <c r="B32" i="6"/>
  <c r="H4" i="6" l="1"/>
  <c r="M7" i="6"/>
  <c r="B28" i="6"/>
  <c r="E28" i="6" s="1"/>
  <c r="B21" i="6"/>
  <c r="H6" i="6"/>
  <c r="E29" i="6"/>
  <c r="F29" i="6"/>
  <c r="N9" i="6"/>
  <c r="B30" i="6"/>
  <c r="F30" i="6" s="1"/>
  <c r="H5" i="6"/>
  <c r="F31" i="6"/>
  <c r="H7" i="6"/>
  <c r="D33" i="6"/>
  <c r="K99" i="12" s="1"/>
  <c r="C33" i="6"/>
  <c r="E31" i="6"/>
  <c r="A100" i="10"/>
  <c r="A99" i="10"/>
  <c r="A98" i="10"/>
  <c r="A97" i="10"/>
  <c r="C35" i="6" l="1"/>
  <c r="I99" i="12"/>
  <c r="F28" i="6"/>
  <c r="B33" i="6"/>
  <c r="B35" i="6" s="1"/>
  <c r="E30" i="6"/>
  <c r="D35" i="6"/>
  <c r="D131" i="3"/>
  <c r="F33" i="6" l="1"/>
  <c r="F35" i="6" s="1"/>
  <c r="B44" i="6" l="1"/>
  <c r="B46" i="6" s="1"/>
  <c r="A96" i="10" l="1"/>
  <c r="P28" i="2" l="1"/>
  <c r="O28" i="2" s="1"/>
  <c r="P39" i="4" l="1"/>
  <c r="M39" i="4" s="1"/>
  <c r="L39" i="4" s="1"/>
  <c r="S56" i="1"/>
  <c r="P56" i="1" s="1"/>
  <c r="O56" i="1" s="1"/>
  <c r="G65" i="6" l="1"/>
  <c r="G61" i="6"/>
  <c r="E61" i="6"/>
  <c r="E63" i="6" l="1"/>
  <c r="G63" i="6"/>
  <c r="G62" i="6"/>
  <c r="E62" i="6"/>
  <c r="O53" i="1"/>
  <c r="O34" i="3" l="1"/>
  <c r="P48" i="3" l="1"/>
  <c r="O20" i="3" l="1"/>
  <c r="O18" i="3"/>
  <c r="O17" i="3"/>
  <c r="O15" i="3"/>
  <c r="O43" i="3"/>
  <c r="L43" i="3"/>
  <c r="O19" i="3" l="1"/>
  <c r="P19" i="3" s="1"/>
  <c r="S19" i="3" s="1"/>
  <c r="P43" i="3" l="1"/>
  <c r="S43" i="3" s="1"/>
  <c r="S65" i="3" l="1"/>
  <c r="O65" i="3" l="1"/>
  <c r="S68" i="3"/>
  <c r="O68" i="3"/>
  <c r="V77" i="3"/>
  <c r="S58" i="3"/>
  <c r="O58" i="3"/>
  <c r="O64" i="3"/>
  <c r="P64" i="3" s="1"/>
  <c r="O57" i="3"/>
  <c r="O55" i="3"/>
  <c r="O74" i="3"/>
  <c r="S74" i="3"/>
  <c r="O53" i="3" l="1"/>
  <c r="O51" i="3" l="1"/>
  <c r="P50" i="3"/>
  <c r="P49" i="3"/>
  <c r="O46" i="3"/>
  <c r="P46" i="3" s="1"/>
  <c r="O45" i="3"/>
  <c r="S73" i="3"/>
  <c r="O73" i="3"/>
  <c r="L42" i="3"/>
  <c r="O42" i="3" s="1"/>
  <c r="P42" i="3" s="1"/>
  <c r="S42" i="3" s="1"/>
  <c r="L41" i="3"/>
  <c r="O41" i="3" s="1"/>
  <c r="P41" i="3" s="1"/>
  <c r="B56" i="8"/>
  <c r="O37" i="3"/>
  <c r="P37" i="3" s="1"/>
  <c r="O32" i="3" l="1"/>
  <c r="P32" i="3" s="1"/>
  <c r="S32" i="3" s="1"/>
  <c r="O28" i="3"/>
  <c r="O23" i="3" l="1"/>
  <c r="P23" i="3" s="1"/>
  <c r="O14" i="3" l="1"/>
  <c r="O12" i="3"/>
  <c r="O54" i="3" l="1"/>
  <c r="L27" i="4" l="1"/>
  <c r="M27" i="4" s="1"/>
  <c r="P27" i="4" s="1"/>
  <c r="G64" i="6" l="1"/>
  <c r="G66" i="6" s="1"/>
  <c r="G68" i="6" s="1"/>
  <c r="W11" i="2" l="1"/>
  <c r="P11" i="2"/>
  <c r="P28" i="3"/>
  <c r="V40" i="1" l="1"/>
  <c r="P40" i="1"/>
  <c r="S40" i="1" s="1"/>
  <c r="O40" i="1" l="1"/>
  <c r="N40" i="1" s="1"/>
  <c r="P39" i="1" l="1"/>
  <c r="S39" i="1" s="1"/>
  <c r="S14" i="3" l="1"/>
  <c r="T77" i="3" l="1"/>
  <c r="O77" i="3"/>
  <c r="P77" i="3" s="1"/>
  <c r="S77" i="3" s="1"/>
  <c r="O72" i="3" l="1"/>
  <c r="B72" i="6" l="1"/>
  <c r="P35" i="3" l="1"/>
  <c r="S30" i="3" l="1"/>
  <c r="O30" i="3"/>
  <c r="S70" i="3"/>
  <c r="O70" i="3"/>
  <c r="S16" i="3" l="1"/>
  <c r="O76" i="3" l="1"/>
  <c r="P76" i="3" s="1"/>
  <c r="P75" i="3"/>
  <c r="S75" i="3" s="1"/>
  <c r="S51" i="3"/>
  <c r="S17" i="3"/>
  <c r="P12" i="3"/>
  <c r="S12" i="3" s="1"/>
  <c r="P17" i="4" l="1"/>
  <c r="P13" i="4"/>
  <c r="P15" i="4"/>
  <c r="P16" i="4"/>
  <c r="M28" i="4" l="1"/>
  <c r="P28" i="4" s="1"/>
  <c r="M19" i="4" l="1"/>
  <c r="M20" i="4"/>
  <c r="P20" i="4" s="1"/>
  <c r="P19" i="4" l="1"/>
  <c r="P25" i="3"/>
  <c r="P72" i="3"/>
  <c r="O25" i="3" l="1"/>
  <c r="B64" i="6" l="1"/>
  <c r="L30" i="4" l="1"/>
  <c r="K30" i="4" s="1"/>
  <c r="M30" i="4" l="1"/>
  <c r="P30" i="4" s="1"/>
  <c r="Q11" i="2" l="1"/>
  <c r="P10" i="2"/>
  <c r="Q10" i="2" s="1"/>
  <c r="P66" i="3" l="1"/>
  <c r="M29" i="4" l="1"/>
  <c r="Q29" i="4" s="1"/>
  <c r="M25" i="4" l="1"/>
  <c r="L25" i="4" s="1"/>
  <c r="K25" i="4" s="1"/>
  <c r="O21" i="1" l="1"/>
  <c r="P21" i="1" s="1"/>
  <c r="T21" i="1" s="1"/>
  <c r="S40" i="3" l="1"/>
  <c r="O40" i="3"/>
  <c r="Q30" i="2" l="1"/>
  <c r="S30" i="2" s="1"/>
  <c r="O84" i="3" l="1"/>
  <c r="P84" i="3" s="1"/>
  <c r="O19" i="1" l="1"/>
  <c r="P71" i="3" l="1"/>
  <c r="K15" i="4"/>
  <c r="L15" i="4" s="1"/>
  <c r="S17" i="1" l="1"/>
  <c r="S18" i="1"/>
  <c r="S16" i="1"/>
  <c r="O17" i="1"/>
  <c r="N17" i="1" s="1"/>
  <c r="O18" i="1"/>
  <c r="N18" i="1" s="1"/>
  <c r="O16" i="1"/>
  <c r="N16" i="1" s="1"/>
  <c r="T72" i="3" l="1"/>
  <c r="B63" i="8" l="1"/>
  <c r="Q60" i="8"/>
  <c r="N32" i="8"/>
  <c r="E65" i="6"/>
  <c r="D65" i="6"/>
  <c r="C65" i="6"/>
  <c r="B65" i="6"/>
  <c r="E75" i="6"/>
  <c r="D53" i="6"/>
  <c r="D9" i="6"/>
  <c r="D11" i="6" s="1"/>
  <c r="C9" i="6"/>
  <c r="D64" i="6"/>
  <c r="C64" i="6"/>
  <c r="M38" i="4"/>
  <c r="P38" i="4" s="1"/>
  <c r="P37" i="4"/>
  <c r="M37" i="4" s="1"/>
  <c r="L37" i="4" s="1"/>
  <c r="M33" i="4"/>
  <c r="P33" i="4" s="1"/>
  <c r="M24" i="4"/>
  <c r="P10" i="4"/>
  <c r="M22" i="4"/>
  <c r="L22" i="4" s="1"/>
  <c r="M21" i="4"/>
  <c r="M14" i="4"/>
  <c r="M12" i="4"/>
  <c r="M11" i="4"/>
  <c r="D61" i="6"/>
  <c r="C61" i="6"/>
  <c r="B61" i="6"/>
  <c r="C50" i="6"/>
  <c r="D50" i="6" s="1"/>
  <c r="B50" i="6"/>
  <c r="S94" i="3"/>
  <c r="O94" i="3"/>
  <c r="S87" i="3"/>
  <c r="S82" i="3"/>
  <c r="O82" i="3"/>
  <c r="S79" i="3"/>
  <c r="O79" i="3"/>
  <c r="S62" i="3"/>
  <c r="O62" i="3"/>
  <c r="S66" i="3"/>
  <c r="S27" i="3"/>
  <c r="S25" i="3"/>
  <c r="S64" i="3"/>
  <c r="S61" i="3"/>
  <c r="O61" i="3"/>
  <c r="S60" i="3"/>
  <c r="O60" i="3"/>
  <c r="S57" i="3"/>
  <c r="S55" i="3"/>
  <c r="S54" i="3"/>
  <c r="S53" i="3"/>
  <c r="P52" i="3"/>
  <c r="O52" i="3" s="1"/>
  <c r="S50" i="3"/>
  <c r="O50" i="3"/>
  <c r="S49" i="3"/>
  <c r="O49" i="3"/>
  <c r="S48" i="3"/>
  <c r="O48" i="3"/>
  <c r="P45" i="3"/>
  <c r="S45" i="3" s="1"/>
  <c r="P44" i="3"/>
  <c r="S47" i="3"/>
  <c r="O47" i="3"/>
  <c r="S46" i="3"/>
  <c r="S41" i="3"/>
  <c r="S39" i="3"/>
  <c r="O39" i="3"/>
  <c r="S37" i="3"/>
  <c r="S35" i="3"/>
  <c r="S34" i="3"/>
  <c r="S33" i="3"/>
  <c r="P31" i="3"/>
  <c r="S28" i="3"/>
  <c r="S24" i="3"/>
  <c r="O24" i="3"/>
  <c r="S15" i="3"/>
  <c r="S23" i="3"/>
  <c r="S20" i="3"/>
  <c r="S18" i="3"/>
  <c r="S13" i="3"/>
  <c r="P11" i="3"/>
  <c r="S10" i="3"/>
  <c r="O10" i="3"/>
  <c r="D63" i="6"/>
  <c r="C63" i="6"/>
  <c r="B63" i="6"/>
  <c r="S39" i="2"/>
  <c r="Q39" i="2" s="1"/>
  <c r="P39" i="2" s="1"/>
  <c r="Q25" i="2"/>
  <c r="S25" i="2" s="1"/>
  <c r="S27" i="2"/>
  <c r="Q27" i="2" s="1"/>
  <c r="P27" i="2" s="1"/>
  <c r="Q24" i="2"/>
  <c r="S24" i="2" s="1"/>
  <c r="Q22" i="2"/>
  <c r="S22" i="2" s="1"/>
  <c r="S21" i="2"/>
  <c r="Q19" i="2"/>
  <c r="C52" i="6" s="1"/>
  <c r="D52" i="6" s="1"/>
  <c r="Q15" i="2"/>
  <c r="S15" i="2" s="1"/>
  <c r="Q23" i="2"/>
  <c r="P23" i="2" s="1"/>
  <c r="S11" i="2"/>
  <c r="S14" i="2"/>
  <c r="Q14" i="2" s="1"/>
  <c r="D62" i="6"/>
  <c r="C62" i="6"/>
  <c r="B62" i="6"/>
  <c r="S65" i="1"/>
  <c r="P65" i="1"/>
  <c r="P61" i="1"/>
  <c r="S59" i="1"/>
  <c r="P59" i="1"/>
  <c r="S55" i="1"/>
  <c r="P55" i="1" s="1"/>
  <c r="O55" i="1" s="1"/>
  <c r="P53" i="1"/>
  <c r="M53" i="1"/>
  <c r="P52" i="1"/>
  <c r="S52" i="1" s="1"/>
  <c r="S50" i="1"/>
  <c r="P50" i="1"/>
  <c r="S47" i="1"/>
  <c r="S43" i="1"/>
  <c r="T45" i="1"/>
  <c r="O45" i="1"/>
  <c r="P45" i="1" s="1"/>
  <c r="P13" i="1"/>
  <c r="O15" i="1"/>
  <c r="P15" i="1" s="1"/>
  <c r="C11" i="6" l="1"/>
  <c r="H100" i="12"/>
  <c r="K9" i="6"/>
  <c r="C51" i="6"/>
  <c r="P21" i="4"/>
  <c r="L11" i="4"/>
  <c r="E64" i="6"/>
  <c r="F64" i="6" s="1"/>
  <c r="F63" i="6"/>
  <c r="B52" i="6"/>
  <c r="F61" i="6"/>
  <c r="O31" i="3"/>
  <c r="F62" i="6"/>
  <c r="B53" i="6"/>
  <c r="B54" i="6"/>
  <c r="S19" i="2"/>
  <c r="L24" i="4"/>
  <c r="L21" i="4"/>
  <c r="B75" i="6"/>
  <c r="C75" i="6" s="1"/>
  <c r="S44" i="3"/>
  <c r="O11" i="3"/>
  <c r="O13" i="1"/>
  <c r="E104" i="1"/>
  <c r="F65" i="6"/>
  <c r="C66" i="6"/>
  <c r="C68" i="6" s="1"/>
  <c r="D66" i="6"/>
  <c r="D68" i="6" s="1"/>
  <c r="B51" i="6"/>
  <c r="D75" i="6"/>
  <c r="B66" i="6"/>
  <c r="B68" i="6" s="1"/>
  <c r="O12" i="4"/>
  <c r="P14" i="2"/>
  <c r="S15" i="1"/>
  <c r="B73" i="6"/>
  <c r="S61" i="1"/>
  <c r="H9" i="6" l="1"/>
  <c r="B9" i="6"/>
  <c r="L9" i="6"/>
  <c r="M9" i="6" s="1"/>
  <c r="E42" i="6"/>
  <c r="C39" i="6"/>
  <c r="E41" i="6"/>
  <c r="D41" i="6"/>
  <c r="F41" i="6" s="1"/>
  <c r="C40" i="6"/>
  <c r="E40" i="6" s="1"/>
  <c r="D51" i="6"/>
  <c r="D55" i="6" s="1"/>
  <c r="C55" i="6"/>
  <c r="C72" i="6"/>
  <c r="E66" i="6"/>
  <c r="E68" i="6" s="1"/>
  <c r="C73" i="6"/>
  <c r="E73" i="6" s="1"/>
  <c r="D73" i="6"/>
  <c r="B55" i="6"/>
  <c r="B57" i="6" s="1"/>
  <c r="F66" i="6"/>
  <c r="S10" i="2"/>
  <c r="B74" i="6"/>
  <c r="B77" i="6" s="1"/>
  <c r="B79" i="6" s="1"/>
  <c r="C57" i="6" l="1"/>
  <c r="J101" i="12"/>
  <c r="D57" i="6"/>
  <c r="L101" i="12"/>
  <c r="B11" i="6"/>
  <c r="E33" i="6"/>
  <c r="E35" i="6" s="1"/>
  <c r="D42" i="6"/>
  <c r="F42" i="6" s="1"/>
  <c r="E39" i="6"/>
  <c r="D39" i="6"/>
  <c r="F39" i="6" s="1"/>
  <c r="C44" i="6"/>
  <c r="D40" i="6"/>
  <c r="F40" i="6" s="1"/>
  <c r="D77" i="6"/>
  <c r="D79" i="6" s="1"/>
  <c r="C74" i="6"/>
  <c r="C77" i="6" s="1"/>
  <c r="C79" i="6" s="1"/>
  <c r="F67" i="6"/>
  <c r="C46" i="6" l="1"/>
  <c r="E44" i="6"/>
  <c r="E46" i="6" s="1"/>
  <c r="D44" i="6"/>
  <c r="F44" i="6" s="1"/>
  <c r="F68" i="6"/>
  <c r="F97" i="12"/>
  <c r="E77" i="6"/>
  <c r="E79" i="6" s="1"/>
  <c r="D46" i="6" l="1"/>
  <c r="F46" i="6"/>
  <c r="P59" i="3"/>
  <c r="S59" i="3" s="1"/>
</calcChain>
</file>

<file path=xl/sharedStrings.xml><?xml version="1.0" encoding="utf-8"?>
<sst xmlns="http://schemas.openxmlformats.org/spreadsheetml/2006/main" count="3464" uniqueCount="1732">
  <si>
    <t>KEY:</t>
  </si>
  <si>
    <t>Project added 2018</t>
  </si>
  <si>
    <t xml:space="preserve">Other than flagging projects added to the database in 2018, color coding generally applies to numeric values only. </t>
  </si>
  <si>
    <t>Individual values are often drawn from different sources, and so may appear inconsistent-- e.g., gas going for upgrading may be more than total amount of gas collected</t>
  </si>
  <si>
    <t xml:space="preserve">PROJECT INFORMATION </t>
  </si>
  <si>
    <t>Farm Type</t>
  </si>
  <si>
    <t>Status</t>
  </si>
  <si>
    <t>Farm County</t>
  </si>
  <si>
    <t>State</t>
  </si>
  <si>
    <t>Project Start Date</t>
  </si>
  <si>
    <t>Operational 2018?</t>
  </si>
  <si>
    <t>Project Developer Organization</t>
  </si>
  <si>
    <t>Digester Type</t>
  </si>
  <si>
    <t>Baseline System</t>
  </si>
  <si>
    <t>Project Description</t>
  </si>
  <si>
    <t>Population Feeding Digester</t>
  </si>
  <si>
    <t>Input in tons/year</t>
  </si>
  <si>
    <t>SCFD raw gas to project</t>
  </si>
  <si>
    <t>SCFD Upgraded gas</t>
  </si>
  <si>
    <t>MMBTU/yr</t>
  </si>
  <si>
    <t xml:space="preserve"> GGE/yr</t>
  </si>
  <si>
    <t>Capacity (GGE/yr)</t>
  </si>
  <si>
    <t>Electricity</t>
  </si>
  <si>
    <t>Year Digester Closed</t>
  </si>
  <si>
    <t>Co-Digestion</t>
  </si>
  <si>
    <t>System Vendors</t>
  </si>
  <si>
    <t xml:space="preserve">CONFIRMED OPERATIONAL </t>
  </si>
  <si>
    <t>Yes</t>
  </si>
  <si>
    <t>https://ngtnews.com/new-indiana-facility-converts-945-tons-of-cow-manure-to-rng-per-day</t>
  </si>
  <si>
    <t>RDF Jasper (Bos, Herrema and Windy Ridge Farms)</t>
  </si>
  <si>
    <t>Dairy</t>
  </si>
  <si>
    <t>OPERATIONAL</t>
  </si>
  <si>
    <t xml:space="preserve">Jasper </t>
  </si>
  <si>
    <t>IN</t>
  </si>
  <si>
    <t>Renewable Dairy Fuels LLC</t>
  </si>
  <si>
    <t>Modified plug flow</t>
  </si>
  <si>
    <t>Upgrading system is membrane with caustic H2S pretreatment. No onsite fueling</t>
  </si>
  <si>
    <t>Pipeline</t>
  </si>
  <si>
    <t>No</t>
  </si>
  <si>
    <t>None</t>
  </si>
  <si>
    <t>ampRenew</t>
  </si>
  <si>
    <t>Swine</t>
  </si>
  <si>
    <t>Morrow</t>
  </si>
  <si>
    <t>OH</t>
  </si>
  <si>
    <t>Complete Mix</t>
  </si>
  <si>
    <t xml:space="preserve">Renergy Dovetail </t>
  </si>
  <si>
    <t>Operational</t>
  </si>
  <si>
    <t>http://biomassmagazine.com/articles/14827/   https://www.cdfa.ca.gov/oefi/ddrdp/docs/2017_DDRDP_ProjectsAwarded.pdf</t>
  </si>
  <si>
    <t>Circle A Dairy Digester Fuel Pipeline Project (Calgren)</t>
  </si>
  <si>
    <t>Tulare</t>
  </si>
  <si>
    <t>CA</t>
  </si>
  <si>
    <t>Q1 2019</t>
  </si>
  <si>
    <t>Calgren Dairy Fuels LLC</t>
  </si>
  <si>
    <t>Covered lagoon</t>
  </si>
  <si>
    <t>Calgren was awarded $1.05 million to support the $2.35 million Circle A Dairy Digester Fuel Pipeline Project. The project is a covered lagoon digester processing manure in Tulare County. The project is owned by Calgren, which will construct it at no cost to the dairy and will make guaranteed payments to the dairy. The project is part of the Calgren Dairy Fuels Cluster. Biogas produced at the site will be supplied via a private pipeline to fuel two 5 MW gas turbines that power the Calgren ethanol refinery. The cluster will install a renewable compressed natural gas (RCNG) station and later connect to the utility pipeline to supply more RCNG stations.</t>
  </si>
  <si>
    <t>Upgrading system Air Liquide</t>
  </si>
  <si>
    <t>http://fortune.com/2016/01/27/fair-oaks-dairy-farm-manure-fuel/   https://www.epa.gov/sites/production/files/2016-07/documents/fair_oaks_-_rev_7-18-16.pdf   https://www.rewmag.com/article/anaergia-biogas-milk-fair-oaks/   http://fortune.com/fair-oaks-dairy-manure-fuel-farming/  http://energy-vision.org/wp-content/uploads/2013/09/Fair-Oaks-AMP-Profile.pdf  http://www.csrwire.com/press_releases/40585-UPS-Dramatically-Increases-Use-of-Renewable-Natural-Gas</t>
  </si>
  <si>
    <t>Fair Oaks Dairy</t>
  </si>
  <si>
    <t>Jasper</t>
  </si>
  <si>
    <t>DVO, Inc. (formerly GHD, Inc.)</t>
  </si>
  <si>
    <t>Mixed Plug Flow</t>
  </si>
  <si>
    <t>Storage Tank or Pond or Pit</t>
  </si>
  <si>
    <t>Uses fuel from digested manure to fuel 42 Class 8 heavy-duty milk tanker trucks; excess CNG piped and sold to CNG fueling station; some biogas also fuels a generator that provides electricity for the biogas upgrader and for the farm</t>
  </si>
  <si>
    <t>1 MW</t>
  </si>
  <si>
    <t>22,543 (methane)</t>
  </si>
  <si>
    <t>Farm Scale</t>
  </si>
  <si>
    <t>N/A</t>
  </si>
  <si>
    <t>Jasper County REMC</t>
  </si>
  <si>
    <t xml:space="preserve">http://biomassmagazine.com/articles/13624/roeslein-alternative-energys-wte-project-begins-rng-production  http://www.kttn.com/large-manure-to-energy-project-begins-producing-renewable-natural-gas/ </t>
  </si>
  <si>
    <t>Harris</t>
  </si>
  <si>
    <t>MO</t>
  </si>
  <si>
    <t>Roeslein Alternative Energy</t>
  </si>
  <si>
    <t>Covered Lagoon</t>
  </si>
  <si>
    <t xml:space="preserve">Regional / centralized </t>
  </si>
  <si>
    <t>http://biomassmagazine.com/articles/10787/construction-underway-on-missouri-anaerobic-digestion-project  http://www.prnewswire.com/news-releases/construction-underway-on-innovative-project-creating-energy-from-hog-manure-270763751.html   http://www.murphybrownllc.com/environment/enviromental-management/   http://biomassmagazine.com/articles/14873/rng-coalition-celebrates-new-projects-launches-video</t>
  </si>
  <si>
    <t>Sullivan</t>
  </si>
  <si>
    <t xml:space="preserve">Roeslein Alternative Energy, LLC (RAE); Murphy-Brown of Missouri, LLC (MBM) </t>
  </si>
  <si>
    <t>Plans to include grasses and crop residue</t>
  </si>
  <si>
    <t>Environmental Fabrics Inc.</t>
  </si>
  <si>
    <t>Optima KV</t>
  </si>
  <si>
    <t>Duplin County</t>
  </si>
  <si>
    <t>NC</t>
  </si>
  <si>
    <t>Optima Bioenergy</t>
  </si>
  <si>
    <t>Duke Energy</t>
  </si>
  <si>
    <t>http://www.kttn.com/large-manure-to-energy-project-begins-producing-renewable-natural-gas/  http://www.prnewswire.com/news-releases/key-phase-underway-in-120-million-manure-to-energy-project-300171175.html
https://www.americanbiogascouncil.org/projectProfiles/albany_mo.pdf     https://www.americanbiogascouncil.org/projectProfiles/albany_mo.pdf</t>
  </si>
  <si>
    <t>https://www.bioohio.com/item/quasar-energy-group-llc-zanesville-energy/   http://www.greenenergyohio.org/page.cfm?pageID=2949   http://quasareg.com/New/locations/</t>
  </si>
  <si>
    <t>Zanesville Energy (Quasar)</t>
  </si>
  <si>
    <t>Muskingum</t>
  </si>
  <si>
    <t>quasar energy group</t>
  </si>
  <si>
    <t>4623 (Methane)</t>
  </si>
  <si>
    <t>Centralized/Regional</t>
  </si>
  <si>
    <t>Mixed biomass</t>
  </si>
  <si>
    <t>OSU - OARDC, quasar energy group</t>
  </si>
  <si>
    <t>CONFIRMED UNDER CONSTRUCTION</t>
  </si>
  <si>
    <t>https://www.cdfa.ca.gov/oefi/ddrdp/docs/2018_DDRDP_ProjectsAwarded.pdf</t>
  </si>
  <si>
    <t>4K Dairy</t>
  </si>
  <si>
    <t>UNDER CONSTRUCTION</t>
  </si>
  <si>
    <t>Calgren/Maas Energy Works</t>
  </si>
  <si>
    <t xml:space="preserve">Covered lagoon </t>
  </si>
  <si>
    <t>SoCal Gas</t>
  </si>
  <si>
    <t>Cornerstone</t>
  </si>
  <si>
    <t>Cornerstone Dairy Digester Pipeline Project is a new covered lagoon digester processing dairy manure in Tulare County, California. The project is a part of the Calgren Dairy Fuels Cluster, developed by Maas Energy Works. The Calgren Dairy Fuels Cluster has already laid four miles of pipeline and begun construction of three digesters awarded CDFA funds in late 2017--scheduled to provide the state's first pipeline diary biogas fuel by June of 2018. The methane-rich biogas from the digester will be transported via private, low-pressure pipeline to the cluster's central hub near the Calgren ethanol refinery. Once at the hub, it will be used to fuel partner and public trucks at an on-site compressed natural gas fueling station. The remainder of the gas will be injected into the adjacent SoCalGas utility pipeline for delivery to other CNG fueling stations around the Central Valley and the state</t>
  </si>
  <si>
    <t>Little Rock</t>
  </si>
  <si>
    <t>Little Rock Dairy Centralized Digester Pipeline Project is a new covered lagoon digester processing dairy manure from two smaller dairies in Tulare County, California. The project is a part of the Calgren Dairy Fuels Cluster, developed by Maas Energy Works. The Calgren Dairy Fuels Cluster has already laid four miles of pipeline and begun construction of three digesters awarded CDFA funds in late 2017-- scheduled to provide the state's first pipeline diary biogas fuel by June of 2018. The methane-rich biogas from the digester will be transported via private, low-pressure pipeline to the cluster's central hub near the Calgren ethanol refinery. Once at the hub, it will be used to fuel partner and public trucks at an on-site compressed natural gas fueling station. The remainder of the gas will be injected into the adjacent SoCalGas utility pipeline for delivery to other CNG fueling stations around the Central Valley and the state</t>
  </si>
  <si>
    <t>Riverview Diary</t>
  </si>
  <si>
    <t>Riverview Dairy Digester Pipeline Project is a new covered lagoon digester processing dairy manure in Tulare County, California. The project is a part of the Calgren Dairy Fuels Cluster, developed by Maas Energy Works. The Calgren Dairy Fuels Cluster has already laid four miles of pipeline and begun construction of three digesters awarded CDFA funds in late 2017--scheduled to provide the state's first pipeline diary biogas fuel by June of 2018. The methane-rich biogas from the digester will be transported via private, low-pressure pipeline to the cluster's central hub near the Calgren ethanol refinery. Once at the hub, it will be used to fuel partner and public trucks at an on-site compressed natural gas fueling station. The remainder of the gas will be injected into the adjacent SoCalGas utility pipeline for delivery to other CNG fueling stations around the Central Valley and the state.</t>
  </si>
  <si>
    <t>Sousa and Sousa</t>
  </si>
  <si>
    <t>Sousa and Sousa Dairy Digester Pipeline Project is a new covered lagoon digester processing dairy manure in Tulare County, California. The project is a part of the Calgren Dairy Fuels Cluster, developed by Maas Energy Works. The Calgren Dairy Fuels Cluster has already laid four miles of pipeline and begun construction of three digesters awarded CDFA funds in late 2017--scheduled to provide the state's first pipeline diary biogas fuel by June of 2018. The methane-rich biogas from the digester will be transported via private, low-pressure pipeline to the cluster's central hub near the Calgren ethanol refinery. Once at the hub, it will be used to fuel partner and public trucks at an on-site compressed natural gas fueling station. The remainder of the gas will be injected into the adjacent SoCalGas utility pipeline for delivery to other CNG fueling stations around the Central Valley and the state.</t>
  </si>
  <si>
    <t>Vander Poel Dairy Digester Pipeline Project is a new covered lagoon digester processing dairy manure in Tulare County, California. The project is a part of the Calgren Dairy Fuels Cluster, developed by Maas Energy Works. The Calgren Dairy Fuels Cluster has already laid four miles of pipeline and begun construction of three digesters awarded CDFA funds in late 2017--scheduled to provide the state's first pipeline diary biogas fuel by June of 2018. The methane-rich biogas from the digester will be transported via private, low-pressure pipeline to the cluster's central hub near the Calgren ethanol refinery. Once at the hub, it will be used to fuel partner and public trucks at an on-site compressed natural gas fueling station. The remainder of the gas will be injected into the adjacent SoCalGas utility pipeline for delivery to other CNG fueling stations around the Central Valley and the state.</t>
  </si>
  <si>
    <t>FM Jerseys</t>
  </si>
  <si>
    <t>FM Jerseys Dairy Digester Pipeline Project is a new covered lagoon digester processing dairy manure in Tulare County, California. The project is a part of the Calgren Dairy Fuels Cluster, developed by Maas Energy Works. FM Jerseys (located on the opposite of the highway and railroad tracks) will greatly expand the reach of this cluster by delivering gas via virtual pipeline--rapidly growing the geographic area served by the state's first dairy fuels cluster. The methane-rich biogas from the digester will be hauled using clean-burning renewable CNG-fueled trucks and compressed natural gas tube trailers to create a virtual pipeline to the cluster's central hub at the Calgren ethanol refinery. Once at the hub, it will be used to fuel partner and public trucks at an on-site compressed natural gas fueling station. The remainder of the gas will be injected into the adjacent SoCalGas utility pipeline for delivery to other CNG fueling stations around the Central Valley and the state.</t>
  </si>
  <si>
    <t>http://biomassmagazine.com/articles/13480/regs-and-bacon    http://www.c2-energy.com/us/  http://www.prnewswire.com/news-releases/carbon-cycle-energy-breaks-ground-on-100-million-biogas-facility-in-north-carolina-300377611.html  http://biomassmagazine.com/articles/14183/swinerton-breaks-ground-on-c2e-biogas-facility-in-north-carolina</t>
  </si>
  <si>
    <t>Carbon Cycle Energy (C2e)</t>
  </si>
  <si>
    <t>Duplin</t>
  </si>
  <si>
    <t>Jan 15 2019</t>
  </si>
  <si>
    <t>Q4 2019</t>
  </si>
  <si>
    <t xml:space="preserve">Carbon Cycle Energy (C2e) </t>
  </si>
  <si>
    <t>YES</t>
  </si>
  <si>
    <t>EPA 2016 update- Operational https://www.terrapass.com/project/george-deruyter-and-sons-dairy   http://biomassmagazine.com/articles/10612/dairy-farm-to-produce-pipeline-quality-biogas   https://agr.wa.gov/fp/pubs/docs/343-washingtondairiesanddigesters-web.pdf  http://www.promusenergy.com/partners-c1jq0  http://www.promusenergy.com/</t>
  </si>
  <si>
    <t>George DeRuyter &amp; Sons Dairy Digester (Promus Outlook Granger Project)</t>
  </si>
  <si>
    <t>Yakima</t>
  </si>
  <si>
    <t>WA</t>
  </si>
  <si>
    <t>Q4 2018</t>
  </si>
  <si>
    <t>Q2 2019</t>
  </si>
  <si>
    <t>Promus Energy, LLC</t>
  </si>
  <si>
    <t>Flush to storage lagoon</t>
  </si>
  <si>
    <t>Will market RNG directly to nearby transportation fleets and inject RNG into the interstate pipeline grid. Using Greenlane Biogas pressurized water upgrading system. End-users transit fleets</t>
  </si>
  <si>
    <t>25550 dry tons</t>
  </si>
  <si>
    <t>Grease trap waste</t>
  </si>
  <si>
    <t>Andgar Corp., DVO, Inc. (formerly GHD, Inc.), Regenis, Regenis (An Andgar Company) (General Contractor); Greenlane Biogas (upgrading)</t>
  </si>
  <si>
    <t>AZ</t>
  </si>
  <si>
    <t>Green Gas Partners</t>
  </si>
  <si>
    <t>Co-digestion of food waste and manure</t>
  </si>
  <si>
    <t>Unknown</t>
  </si>
  <si>
    <t>Bosman Dairy Digester Fuel Pipeline Project (Calgren)</t>
  </si>
  <si>
    <t>NO</t>
  </si>
  <si>
    <t>Calgren was awarded $2.02 million to support the $4.03 million Bosman Dairy Digester Fuel Pipeline Project. The project is a covered lagoon digester processing manure in Tulare County. The project is owned by Calgren, which will construct it at no cost to the dairy and will make guaranteed payments to the dairy. The project is part of the Calgren Dairy Fuels Cluster. Biogas produced at the site will be supplied via a private pipeline to fuel two 5 MW gas turbines that power the Calgren ethanol refinery. The cluster will install a renewable compressed natural gas (RCNG) station and later connect to the utility pipeline to supply more RCNG stations.</t>
  </si>
  <si>
    <t>10MW</t>
  </si>
  <si>
    <t>K&amp;M Visser Dairy Digester Fuel Pipeline Project (Calgren)</t>
  </si>
  <si>
    <t>Calgren was awarded $1.5 million to support the $3.29 million K&amp;M Visser Dairy Digester Fuel Pipeline Project in Pixley, California. The project is a covered lagoon digester processing manure in Tulare County. The project is owned by Calgren, which will construct it at no cost to the dairy and will make guaranteed payments to the dairy. The project is part of the Calgren Dairy Fuels Cluster. Biogas produced at the site will be supplied via a private pipeline to fuel two 5 MW gas turbines that power the Calgren ethanol refinery. The cluster will install a renewable compressed natural gas (RCNG) station and later connect to the utility pipeline to supply more RCNG stations.</t>
  </si>
  <si>
    <t>Legacy Dairy Digester Fuel Pipeline project (Calgren)</t>
  </si>
  <si>
    <t>Calgren was awarded $1.55 million to support the $3.28 million Legacy Dairy Digester Fuel Pipeline project. The project is a covered lagoon digester processing manure in Tulare County. The project is owned by Calgren, which will construct it at no cost to the dairy and will make guaranteed payments to the dairy. The project is part of the Calgren Dairy Fuels Cluster. Biogas produced at the site will be supplied via a private pipeline to fuel two 5 MW gas turbines that power the Calgren ethanol refinery. The cluster will install a renewable compressed natural gas (RCNG) station and later connect to the utility pipeline to supply more RCNG stations.</t>
  </si>
  <si>
    <t>Pixley Dairy Digester Fuel Pipeline Project (Calgren)</t>
  </si>
  <si>
    <t>Calgren was awarded $1.6 million to support the $3.45 million Pixley Dairy Digester Fuel Pipeline Project. The project is a covered lagoon digester processing manure in Tulare County. The project is owned by Calgren, which will construct it at no cost to the dairy and will make guaranteed payments to the dairy. The project is part of the Calgren Dairy Fuels Cluster. Biogas produced at the site will be supplied via a private pipeline to fuel two 5 MW gas turbines that power the Calgren ethanol refinery. The cluster will install a renewable compressed natural gas (RCNG) station and later connect to the utility pipeline to supply more RCNG stations.</t>
  </si>
  <si>
    <t>R Vander Eyk Dairy Digester Fuel Pipeline Project (Calgren)</t>
  </si>
  <si>
    <t>https://dtepowerandindustrial.com/project/rosendale-renewable-energy-under-construction/
https://www.biofermenergy.com/references/rosendale-dairy/</t>
  </si>
  <si>
    <t>Rosendale Dairy Farm</t>
  </si>
  <si>
    <t>Winnebago</t>
  </si>
  <si>
    <t>WI</t>
  </si>
  <si>
    <t xml:space="preserve">DTE Biomass Energy </t>
  </si>
  <si>
    <t xml:space="preserve">Wet fermentation </t>
  </si>
  <si>
    <t>Installed a 1.4 MW wet fermentation digester system in the Spring of 2013 to provide CHP, 1.4MW electric capacity, 1.5MW thermal capacity</t>
  </si>
  <si>
    <t>Digester, BIOFerm</t>
  </si>
  <si>
    <t>Williams Family Dairy Digester Fuel Pipeline project (Calgren)</t>
  </si>
  <si>
    <t>Calgren was awarded $1.5 million to support the $4.02 million Williams Family Dairy Digester Fuel Pipeline project in Pixley, California. The Williams Family Dairy Digester Fuel Pipeline Project is a covered lagoon anaerobic digester processing manure in Tulare County. The project is owned by Calgren, which will construct it at no cost to the dairy and will make guaranteed payments to the dairy. The project is part of the Calgren Dairy Fuels Cluster. Biogas produced at the site will be supplied via a private pipeline to fuel two 5 MW gas turbines that power the Calgren ethanol refinery. The cluster will install a renewable compressed natural gas (RCNG) station and later connect to the utility pipeline to supply more RCNG stations.</t>
  </si>
  <si>
    <t>https://www.bizjournals.com/charlotte/news/2018/10/17/regulators-approval-cl
https://www.ncsafewater.org/news/399346/Smithfield--Tar-Heel-Facility-Wastewater-Treatment-Plant.htm</t>
  </si>
  <si>
    <t>Optima Tar Heel</t>
  </si>
  <si>
    <t>Bladen</t>
  </si>
  <si>
    <t>WWTP</t>
  </si>
  <si>
    <t>Swine-waste biogas plant capturing biogas from wastewater treatment plant at pork processing facility and injecting upgraded gas in to local utility pipeline</t>
  </si>
  <si>
    <t>Processing facility, not farm</t>
  </si>
  <si>
    <t xml:space="preserve">Duke Energy </t>
  </si>
  <si>
    <t>MD</t>
  </si>
  <si>
    <t>Other</t>
  </si>
  <si>
    <t>http://www.fleetsandfuels.com/fuels/ngvs/2017/09/amp-americas-claims-far-lowest-ci-ever/</t>
  </si>
  <si>
    <t>amp Americas LLC</t>
  </si>
  <si>
    <t>Modified plug-flow</t>
  </si>
  <si>
    <t>Upgrading technology is water wash</t>
  </si>
  <si>
    <t>Proprietary</t>
  </si>
  <si>
    <t>PLANNED</t>
  </si>
  <si>
    <t>CO</t>
  </si>
  <si>
    <t>OR</t>
  </si>
  <si>
    <t>KS</t>
  </si>
  <si>
    <t>no</t>
  </si>
  <si>
    <t>Black Hills Energy</t>
  </si>
  <si>
    <t>IA</t>
  </si>
  <si>
    <t>Kings</t>
  </si>
  <si>
    <t xml:space="preserve">Dairy </t>
  </si>
  <si>
    <t>Maas Energy Works</t>
  </si>
  <si>
    <t>Decade Centralized</t>
  </si>
  <si>
    <t>The Decade Centralized Dairy Digester Pipeline Project is a new covered lagoon digester processing dairy manure from two dairies in Tulare County, California. The project is 100% farmer owned by the host dairymen Eric and Clarinda Westra &amp; Richard and Donna Westra. The project is a part of the Hanford-Lakeside Pipeline cluster, developed by Maas Energy Works. The methane-rich biogas from the digester will be transported via private, low-pressure pipeline to the cluster's central hub near River Ranch. Once at the hub, it will be used to fuel partner and public trucks at an on-site compressed natural gas fueling station. The remainder of the gas will be injected into the adjacent SoCalGas utility pipeline for delivery to other CNG fueling stations around the Central Valley and the state.</t>
  </si>
  <si>
    <t>Lone Oak 1</t>
  </si>
  <si>
    <t>Lone Oak #1 Dairy Digester Pipeline Project is a new covered lagoon digester processing dairy manure in King's County, California. The project is 100% farmer owned by the host dairy family members of the 2000 TeVelde Trust. The project is a part of the Hanford-Lakeside Pipeline cluster, developed by Maas Energy Works. The methane-rich biogas from the digester will be transported via private, low-pressure pipeline to the cluster's central hub at River Ranch. Once at the hub, it will be used to fuel partner and public trucks at an on-site compressed natural gas fueling station. The remainder of the gas will be injected into the adjacent SoCalGas utility pipeline for delivery to other CNG fueling stations around the around the Central Valley and the state.</t>
  </si>
  <si>
    <t>Farm</t>
  </si>
  <si>
    <t>?</t>
  </si>
  <si>
    <t>River Ranch</t>
  </si>
  <si>
    <t>River Ranch Dairy Digester Pipeline Project is a new covered lagoon digester processing dairy manure in King's County, California. The project is 100% farmer owned by the host dairy family Jack and Nicole De Jong. The project is a part of the Hanford-Lakeside Pipeline cluster, developed by Maas Energy Works. The methane-rich biogas from the digester will be transported via private, low-pressure pipeline to the cluster's central hub near the dairy. Once at the hub, it will be used to fuel partner and public trucks at an on-site compressed natural gas fueling station. The remainder of the gas will be injected into the adjacent SoCalGas utility pipeline for delivery to other CNG fueling stations around the Central Valley and the state.</t>
  </si>
  <si>
    <t>CONFIRMED CANCELLED/SHUT DOWN</t>
  </si>
  <si>
    <t>http://dairystar.com/main.asp?SectionID=1&amp;SubSectionID=1&amp;ArticleID=8015 https://www.shamrockfarms.net/about-us/sustainability/</t>
  </si>
  <si>
    <t>Shamrock Farms</t>
  </si>
  <si>
    <t>CANCELLED</t>
  </si>
  <si>
    <t>Looking into possibility of getting a digester</t>
  </si>
  <si>
    <t>https://411.info/business/West-Point-Farm-Wendell-ID-11329171</t>
  </si>
  <si>
    <t>Westpoint Farms</t>
  </si>
  <si>
    <t>SHUT DOWN</t>
  </si>
  <si>
    <t>Gooding</t>
  </si>
  <si>
    <t>ID</t>
  </si>
  <si>
    <t>Induced Blanket Reactor</t>
  </si>
  <si>
    <t>Intrepid Technology and Resources Inc.</t>
  </si>
  <si>
    <t>http://www.capitalpress.com/SpecialSections/Dairy/20140609/dairy-farm-grows-with-the-family</t>
  </si>
  <si>
    <t>Whitesides Dairy</t>
  </si>
  <si>
    <t>Minidoka</t>
  </si>
  <si>
    <t>Intermountain Gas</t>
  </si>
  <si>
    <t>http://www.jonesfamilyfarm.org/  http://biomassmagazine.com/articles/6335/md-biogas-project-will-digest-manure-food-waste</t>
  </si>
  <si>
    <t>Jones Family Farm</t>
  </si>
  <si>
    <t>Kent</t>
  </si>
  <si>
    <t>Homeland Biogas Energy</t>
  </si>
  <si>
    <t>Will convert dairy manure and local food waste substrates into CNG to fuel local transport trucks</t>
  </si>
  <si>
    <t>Operational - according to EPA 2016 update   http://www.mlive.com/business/west-michigan/index.ssf/2016/04/michigan_dairy_farm_produces_m.html http://scenicviewdairy.com/   https://www.epa.gov/sites/production/files/2014-12/documents/scenic_view_agstar_site_profile_508_022614.pdf   http://scenicviewdairy.com/anaerobic-digestion/</t>
  </si>
  <si>
    <t>Scenic View Dairy</t>
  </si>
  <si>
    <t>Dairy and Swine</t>
  </si>
  <si>
    <t>Allegan</t>
  </si>
  <si>
    <t>MI</t>
  </si>
  <si>
    <t>XEBEC Inc.; Phase 3 Developments &amp; Investments, LLC; Biogas Direct, LLC (Biogas-Nord)</t>
  </si>
  <si>
    <t>Storage Lagoon</t>
  </si>
  <si>
    <t xml:space="preserve">Generates enough electricity through AD of dairy, heifer, and swine manure, as well as FOG, to completely meet the farm's electricity needs; extra electricity sold to a local electric utility; remaining biogas upgraded to RNG and distributed to 2,000 Michigan Gas Utilities customers. 22 day residence time </t>
  </si>
  <si>
    <t>Dairy: 3,800
Swine: 9,000</t>
  </si>
  <si>
    <t>900kW</t>
  </si>
  <si>
    <t>Multiple Farm</t>
  </si>
  <si>
    <t>Processing water, food processing waste</t>
  </si>
  <si>
    <t xml:space="preserve">Biogas Direct, LLC, Organic Waste Systems (OWS), Inc., Phase 3 Developments &amp; Investments, LLC, Specialty Concrete </t>
  </si>
  <si>
    <t>Consumers Energy Company; Michigan Gas Utilities Corp</t>
  </si>
  <si>
    <t>https://www.epa.gov/sites/production/files/2016-07/documents/danny_kluthe_-_rev_7-18-16.pdf   http://www.nebraskansforsolar.org/tag/olean-energy/   http://www.nationalhogfarmer.com/environmental-stewardship-winners-2013/manure-digester-means-nebraska-farm-powered-pigs</t>
  </si>
  <si>
    <t>Danny Kluthe Farm/O’Lean Energy</t>
  </si>
  <si>
    <t>Colfax</t>
  </si>
  <si>
    <t>NE</t>
  </si>
  <si>
    <t>Environmental Fabrics, Inc.; RCM International LLC</t>
  </si>
  <si>
    <t>Storage lagoon</t>
  </si>
  <si>
    <t>Methane is removed and used to generate electricity that’s sold to the Cuming County Public Power District and put on the electrical grid. Farm vehicles run on a methane blend harvested from the anaerobic digester and diesel. The methane is converted to compressed natural gas (CNG) in order to be mixed with diesel through a tank onboard each converted tractor and truck. The tractors are fueled by a 90% methane/10% diesel blend.</t>
  </si>
  <si>
    <t>730,000 kWh</t>
  </si>
  <si>
    <t>Environmental Fabrics, Inc., RCM International LLC</t>
  </si>
  <si>
    <t>Cuming County Public Power District</t>
  </si>
  <si>
    <t>https://www.nyserda.ny.gov/About/Newsroom/2017-Announcements/2017-05-15-NYSERDA-Announces-Cayuga-County-Earns-Clean-Energy-Community-Designation  http://auburnpub.com/news/local/cayuga-county-designated-state-clean-energy-community/article_ef7491c9-4b3f-5584-a3aa-ab9792a0135f.html   http://www.cayugaswcd.org/digester.html</t>
  </si>
  <si>
    <t>Cayuga County Regional Digester and Bio-Energy Enterprise</t>
  </si>
  <si>
    <t>Cayuga</t>
  </si>
  <si>
    <t xml:space="preserve">NY </t>
  </si>
  <si>
    <t>Cayuga County Soil and Water Conservation District</t>
  </si>
  <si>
    <t>Pressure differential mix</t>
  </si>
  <si>
    <t>44000 (based on 30k gallons a day)</t>
  </si>
  <si>
    <t>633kW</t>
  </si>
  <si>
    <t>Animal manure, food wastes, FOG</t>
  </si>
  <si>
    <t xml:space="preserve">Blue Electron (digester), American Biogas Conditioning (removal of H2S and siloxanes) </t>
  </si>
  <si>
    <t>https://www.bioohio.com/item/quasar-energy-group-llc-buckeye-biogas/</t>
  </si>
  <si>
    <t>Buckeye Biogas (Quasar)</t>
  </si>
  <si>
    <t>Wayne</t>
  </si>
  <si>
    <t>quasar energy group; The Ohio State University's Ohio Agricultural Research and Development Center; Ohio BioProducts Innovation Center</t>
  </si>
  <si>
    <t>5256 MWh/year</t>
  </si>
  <si>
    <t xml:space="preserve">3,114 (methane) </t>
  </si>
  <si>
    <t>Food wastes, grass, crop waste</t>
  </si>
  <si>
    <t>Haviland Energy</t>
  </si>
  <si>
    <t>Erath</t>
  </si>
  <si>
    <t>TX</t>
  </si>
  <si>
    <t>Original developer/owner: Micrology (Environmental Power Corp.)
Current developer/owner: EM Biogas (Element Markets, LLC)</t>
  </si>
  <si>
    <t>Storage Stack</t>
  </si>
  <si>
    <t>Creates RNG from 8 digesters, which is then injected into the infrastructure and sold to the Lower Colorado River Authority and PG&amp;E in California; uses manure delivered by regional farms, with codigestion of grease and other restaurant waste</t>
  </si>
  <si>
    <t>Grease and other restaurant waste</t>
  </si>
  <si>
    <t>EM Biogas, Microgy</t>
  </si>
  <si>
    <t>UNCONFIRMED OPERATIONAL</t>
  </si>
  <si>
    <t>https://www.dairycares.com/families/Hilarides_and_Borba  https://www.wired.com/2009/02/milk-trucks-in/ http://www.tularechamber.org/list/member/hilarides-dairy-lindsay-2296</t>
  </si>
  <si>
    <t>Hilarides Dairy</t>
  </si>
  <si>
    <t>Sharp Energy; Phase 3 Developments &amp; Investments, LLC; Cover installed by Environmental Fabrics, Inc.</t>
  </si>
  <si>
    <t>Generates electricity for on-site use by six engines; CNG used to fuel four milk trucks and a small fleet of pickup trucks</t>
  </si>
  <si>
    <t>Environmental Fabrics, Inc., Phase 3 Developments &amp; Investments, LLC, Sharp Energy</t>
  </si>
  <si>
    <t>UNCONFIRMED UNDER CONSTRUCTION</t>
  </si>
  <si>
    <t xml:space="preserve">Calumet Renewable Energy </t>
  </si>
  <si>
    <t>Clean Energy Renewable Fuels</t>
  </si>
  <si>
    <t>UNCONFIRMED CANCELLED/SHUT DOWN</t>
  </si>
  <si>
    <t>https://www.facebook.com/pages/Vintage-Dairy/286670118104165</t>
  </si>
  <si>
    <t>Vintage Dairy</t>
  </si>
  <si>
    <t>Fresno</t>
  </si>
  <si>
    <t>BioEnergy Solutions</t>
  </si>
  <si>
    <t>Pacific Gas and Electric Company</t>
  </si>
  <si>
    <t>Bison Renewable Energy</t>
  </si>
  <si>
    <t>Swine and Cattle</t>
  </si>
  <si>
    <t xml:space="preserve"> Sioux</t>
  </si>
  <si>
    <t>Bison Renewable Energy, LLC</t>
  </si>
  <si>
    <t>Created high BTU RNG injected into the pipeline infrastructure</t>
  </si>
  <si>
    <t>Under construction</t>
  </si>
  <si>
    <t xml:space="preserve">Planned </t>
  </si>
  <si>
    <t>Cancelled</t>
  </si>
  <si>
    <t>Shut down</t>
  </si>
  <si>
    <t>Total operational MMBTU</t>
  </si>
  <si>
    <t>Planned</t>
  </si>
  <si>
    <t xml:space="preserve">Cancelled </t>
  </si>
  <si>
    <t>Vehicle fuel</t>
  </si>
  <si>
    <t xml:space="preserve">Both </t>
  </si>
  <si>
    <t>Waste Conversion Facility Name</t>
  </si>
  <si>
    <t>Facility Owner</t>
  </si>
  <si>
    <t>Facility County</t>
  </si>
  <si>
    <t>Amount of Waste Delivered</t>
  </si>
  <si>
    <t xml:space="preserve">Capacity (tons per day) </t>
  </si>
  <si>
    <t>Waste Type</t>
  </si>
  <si>
    <t>Waste Provider</t>
  </si>
  <si>
    <t>Raw Biogas Produced, SCFD</t>
  </si>
  <si>
    <t>Upgraded SCFD</t>
  </si>
  <si>
    <t>Upgraded MMBTU/yr</t>
  </si>
  <si>
    <t xml:space="preserve">Electricity Produced </t>
  </si>
  <si>
    <t>End user(s)</t>
  </si>
  <si>
    <t>Northstate Rendering Anaerobic Digester (Biogas Energy)</t>
  </si>
  <si>
    <t>North State Rendering</t>
  </si>
  <si>
    <t>Butte</t>
  </si>
  <si>
    <t>North State Rendering; Biogas Energy, Inc.</t>
  </si>
  <si>
    <t>80tpd</t>
  </si>
  <si>
    <t>Post consumer food waste, FOG, agriculture waste, food processing waste</t>
  </si>
  <si>
    <t>Residential, commercial, food processors</t>
  </si>
  <si>
    <t>https://www.bioohio.com/item/quasar-energy-group-llc-central-ohio-bioenergy/   https://www.americanbiogascouncil.org/projectProfiles/columbus_oh.pdf</t>
  </si>
  <si>
    <t>Franklin</t>
  </si>
  <si>
    <t>quasar energy group; Solid Waste Authority of Central Ohio (SWACO); Kurtz Bros., Inc.</t>
  </si>
  <si>
    <t>Processes biosolids from the City of Columbus to generate electricity and CNG for an on-site fueling station; also uses regional food waste and FOG (fats, oil and grease)</t>
  </si>
  <si>
    <t>90,000 tons/yr</t>
  </si>
  <si>
    <t>Food waste, FOG and manure from farms</t>
  </si>
  <si>
    <t>City of Columbus</t>
  </si>
  <si>
    <t>8,760 MWh/yr</t>
  </si>
  <si>
    <t>https://northernconcreteinc.com/northern-concrete-and-new-organic-digestion/   http://www.denmark-wi.org/media/1409/wi-dnr-notice-of-public-hearing.pdf  http://neworganicdigestion.com/  http://www.csrwire.com/press_releases/40585-UPS-Dramatically-Increases-Use-of-Renewable-Natural-Gas</t>
  </si>
  <si>
    <t>New Organic Digestion,  Denmark (Big Ox)</t>
  </si>
  <si>
    <t>Big Ox Energy</t>
  </si>
  <si>
    <t>Plug Flow</t>
  </si>
  <si>
    <t xml:space="preserve">Various area food processors and slaughterhouses </t>
  </si>
  <si>
    <t>CR&amp;R Perris Transfer Station and MRF</t>
  </si>
  <si>
    <t>CR&amp;R</t>
  </si>
  <si>
    <t>Riverside</t>
  </si>
  <si>
    <t xml:space="preserve">CR&amp;R Waste and Recycling Services
</t>
  </si>
  <si>
    <t>Will create high BTU RNG derived from MSW using two state anaerobic digestion; CNG fueling station is currently fueling 320 of CR7R's collection vehicles, eventually to be expanded to 900. Excess CNG will feed into a natural gas pipeline distribution system; digestate will be utilized as a soil amendment</t>
  </si>
  <si>
    <t>Eisenmann mixed plug flow. Upgrading technology Greenlane Biogas (water wash)</t>
  </si>
  <si>
    <t xml:space="preserve">Commercial food scraps, green waste, FOG. </t>
  </si>
  <si>
    <t>CR&amp;R (vehicle fuel)</t>
  </si>
  <si>
    <t>http://www.cleanworld.com/news/cleanworlds-sacramento-biodigester-named-international-bioenergy-project-of-the-year/    
http://biocng.us/wp-content/uploads/2015/06/CleanWorld-Fact-Sheet-2015.pdf 
https://refuelenergypartners.com/</t>
  </si>
  <si>
    <t xml:space="preserve">OPERATIONS SUSPENDED </t>
  </si>
  <si>
    <t>Sacramento</t>
  </si>
  <si>
    <t>December 2012</t>
  </si>
  <si>
    <t>BioCNG; CleanWorld; Atlas Disposal</t>
  </si>
  <si>
    <t>Converts food waste from area food processing companies, restaurants and supermarkets into RNG, electricity and soil-amendment products; RNG fuels waste disposal vehicles, school buses and fleet vehicles throughout the Sacramento region via an on-site fueling station. Currently 100% of gas goes to vehicle fueling, in the future 85% will go to vehicle fueling and 15% to on-site electricity use.</t>
  </si>
  <si>
    <t>Thermophilic, three stage, complete mix</t>
  </si>
  <si>
    <t>2016, 24,000 tons/yr; Jan. 2017, running at between 60% and 100% capacity (100 tpd)</t>
  </si>
  <si>
    <t>Food waste</t>
  </si>
  <si>
    <t>Atlas Disposal</t>
  </si>
  <si>
    <t xml:space="preserve">3,170 kWh/yr, goes toward powering station, digester, upgrading </t>
  </si>
  <si>
    <t>18,250 tons/yr</t>
  </si>
  <si>
    <t>ReFuel Energy Partners</t>
  </si>
  <si>
    <t>https://highplainsbioenergy.com/Biogas.aspx
https://www.bloomberg.com/profiles/companies/0537045D:US-high-plains-bioenergy-llc
https://www.wattagnet.com/articles/32044-high-plains-bioenergy-starts-operations-of-expanded-biogas-recovery-plant</t>
  </si>
  <si>
    <t>Seaboard Foods/High Plains Bioenergy</t>
  </si>
  <si>
    <t>High Plains Bioenergy</t>
  </si>
  <si>
    <t>Texas</t>
  </si>
  <si>
    <t>OK</t>
  </si>
  <si>
    <t xml:space="preserve">High Plains Bioenergy produces biogas from the Seaboard Foods' waste water system, which is then scrubbed to pipeline quality using a pressure swing adsorption system and delivered to the interstate pipeline network to be used by the public as a renewable energy source. </t>
  </si>
  <si>
    <t>Lagoons</t>
  </si>
  <si>
    <t>Waste water from pork processing plant</t>
  </si>
  <si>
    <t xml:space="preserve">Seaboard Foods </t>
  </si>
  <si>
    <t xml:space="preserve">None </t>
  </si>
  <si>
    <t>Blue Line Biogenic CNG Facility</t>
  </si>
  <si>
    <t>San Francisco</t>
  </si>
  <si>
    <t>Blue Line Transfer, Inc.; Zero Waste Energy, LLC; South San Francisco Scavenger Co.</t>
  </si>
  <si>
    <t>Converts food and green waste into CNG fuel for 27 vehicles, during the weekdays they use a mix of CNG and NG, on the weekends when they have more fill time they use all CNG.</t>
  </si>
  <si>
    <t>8 dry anaerobic digesters, thermophilic</t>
  </si>
  <si>
    <t>11,200 tons/yr</t>
  </si>
  <si>
    <t>11200 tons/year</t>
  </si>
  <si>
    <t>Commercial and residential organics</t>
  </si>
  <si>
    <t>Customer base</t>
  </si>
  <si>
    <t>https://www.adm.com/news/news-releases/adm-announces-innovative-project-to-provide-renewable-natural-gas  http://biomassmagazine.com/articles/14135/biogas-advances-in-the-us  http://www.4-traders.com/ARCHER-DANIELS-MIDLAND-CO-11533/news/Archer-Daniels-Midland-ADM-Ameren-partnering-to-provide-renewable-natural-gas-23525746/   http://herald-review.com/business/energy/adm-ameren-partnering-to-provide-renewable-natural-gas/article_8f13c92f-d224-5279-a2a2-99b4de1a2f0f.html</t>
  </si>
  <si>
    <t>Archer Daniels Midland corn processing facility</t>
  </si>
  <si>
    <t>Archer Daniels Midland</t>
  </si>
  <si>
    <t>IL</t>
  </si>
  <si>
    <t xml:space="preserve">May 2017? </t>
  </si>
  <si>
    <t>Archer Daniels Midland/Ameren Illinois</t>
  </si>
  <si>
    <t>Renewable natural gas, produced as a byproduct at ADM’s corn processing facility in Decatur, will be distributed by Ameren Illinois into the nation’s natural gas infrastructure.  When construction of the project is complete, ADM will purify this methane into pipeline quality natural gas and transport it to an Ameren Illinois’ gas pipeline. Ameren Illinois will then distribute the gas into the interstate pipeline system where it will be available for use as a clean, affordable transportation fuel. ADM will benefit from capitalizing on environmental credits.</t>
  </si>
  <si>
    <t>https://www.wastetodaymagazine.com/article/utah-wasatch-resource-recovery-chooses-ge/
https://www.waste360.com/business/wasatch-resource-recovery-s-olsen-bowerman-finds-hope-waste
http://wasatchresourcerecovery.com/</t>
  </si>
  <si>
    <t xml:space="preserve">Wasatch Resource Recovery </t>
  </si>
  <si>
    <t xml:space="preserve">Through PPP co-owned by ALPRO Energy and Water and South Davis Sewer District </t>
  </si>
  <si>
    <t>UT</t>
  </si>
  <si>
    <t>Fully operational April 2019.</t>
  </si>
  <si>
    <t>Wasatch Resource Recovery</t>
  </si>
  <si>
    <t xml:space="preserve">Wet, complete mix </t>
  </si>
  <si>
    <t>500-700 tpd</t>
  </si>
  <si>
    <t>1400 tpd</t>
  </si>
  <si>
    <t>Prepared and packaged foods, fruits and vegetables, meat and dairy, fats, oils, grease, expired beverages, screened curbside wastes and liquid organics from major food processors</t>
  </si>
  <si>
    <t xml:space="preserve">Local supermarkets, restaurants, food processors. Bulk of waste will be from manufacturing. Delivered by local haulers </t>
  </si>
  <si>
    <t xml:space="preserve">Selling to BP, Dominion Power is receiving utility </t>
  </si>
  <si>
    <t>https://www.anaergia.com/construction-begins-at-north-america-s-largest-organic-waste-to-energy-facility-anaergia-s-rialto-bioenergy-facility</t>
  </si>
  <si>
    <t xml:space="preserve">Rialto Bioenergy Facility </t>
  </si>
  <si>
    <t>Anaergia</t>
  </si>
  <si>
    <t xml:space="preserve">Waste Management, Republic Services, City of Rialto, Sanitation Districts of LA and Orange Counties? </t>
  </si>
  <si>
    <t>http://www.colonyenergypartners.com/tulare-bio-gas/   http://biomassmagazine.com/articles/11418/california-energy-commission-awards-biogas-project-5-million   http://www.sandiegouniontribune.com/news/sd-tm-0729-digester-20170719-story.html</t>
  </si>
  <si>
    <t>Colony Energy Partners Tulare LLC</t>
  </si>
  <si>
    <t xml:space="preserve">Colony Energy Partners, LLC </t>
  </si>
  <si>
    <t>500 tons/day</t>
  </si>
  <si>
    <t>Dairy manure, food and agricultural processing residuals, restaurant and cafeteria food scraps, restaurant grease trap residuals, and organic municipal solid waste</t>
  </si>
  <si>
    <t>1,200 kW</t>
  </si>
  <si>
    <t>PA</t>
  </si>
  <si>
    <t>Various</t>
  </si>
  <si>
    <t>https://www.egr.msu.edu/bae/adrec/feature/south-campus-anaerobic-digester http://ipf.msu.edu/green/practices/anaerobic-digester.html</t>
  </si>
  <si>
    <t>Michigan State University South Campus Anaerobic Digester</t>
  </si>
  <si>
    <t>MSU</t>
  </si>
  <si>
    <t>Ingham</t>
  </si>
  <si>
    <t xml:space="preserve">Michigan State University </t>
  </si>
  <si>
    <t>Single tank complete mix, 25 day retention time</t>
  </si>
  <si>
    <t>66 tpd</t>
  </si>
  <si>
    <t>Manure, Food processing waste, FOG, Cafeteria food waste</t>
  </si>
  <si>
    <t>Michigan State University and local food processors/service</t>
  </si>
  <si>
    <t>2600 MWh/yr via 380 kW CHP unit</t>
  </si>
  <si>
    <t>Washington</t>
  </si>
  <si>
    <t>Sustainable Organics Recycling Technology (SORT) Bioenergy</t>
  </si>
  <si>
    <t xml:space="preserve">SORT Bioenergy proposed to build this plant near a Republic Services' garbage transfer center. It will collect waste from the center and produce methane to power some of Republic Services' truck fleet. </t>
  </si>
  <si>
    <t>50,000 to 70,000 tons/yr</t>
  </si>
  <si>
    <t>Commercial food scraps</t>
  </si>
  <si>
    <t>Republic Services</t>
  </si>
  <si>
    <t xml:space="preserve">No </t>
  </si>
  <si>
    <t>https://www.americanbiogascouncil.org/projectProfiles/milwaukee_to_print.pdf  http://greenfire.com/fcpc-renewable-generation-biodigester-facility/   https://energy.gov/eere/technology-to-market/renewable-energy-deployment-projects-forest-county-potawatomi-community   http://www.renewwisconsin.org/pdf/PotoProfile.pdf   https://www.biocycle.net/2014/05/15/from-casino-kitchens-to-on-site-digester/</t>
  </si>
  <si>
    <t>Forest County Potawatomi Community Renewable Generation - Biogas Facility</t>
  </si>
  <si>
    <t>Milwaukee</t>
  </si>
  <si>
    <t>Greenfire Management Services LLC*, Miron Construction Co., Inc., Symbiont Science, Engineering and Construction, Inc., Biothane, LLC, Veolia Water Solutions*, Natural Systems Utilities, LLC*</t>
  </si>
  <si>
    <t>Continuous stir</t>
  </si>
  <si>
    <t>45,000 gpd</t>
  </si>
  <si>
    <t>Liquid food waste + organic byproducts of food processing industries, including beverage, dairy, meat, processed food + other byproducts of industrial food crop processing</t>
  </si>
  <si>
    <t>Potawatomi Hotel and Casino</t>
  </si>
  <si>
    <t>2MW</t>
  </si>
  <si>
    <t>https://www.arb.ca.gov/fuels/lcfs/workgroups/lcfssustain/tisher.pdf</t>
  </si>
  <si>
    <t>Mendota Advanced Bioenergy Beet Cooperative</t>
  </si>
  <si>
    <t>Mendota Advanced Bioenergy Beet Cooperative; Mendota Bioenergy, LLC; California Energy Commission</t>
  </si>
  <si>
    <t>A large system to produce electricity, CNG for pipeline/vehicle fuel, and ethanol production from beets. The demonstration plant came on line in December 2014 and will operate through the summer of 2015 when efforts will shift to the development, construction, and operation of Advanced Bioenergy Center—Mendota (ABC-M), the first of several California-based full-scale commercial 15-MGY integrated biorefineries.  ABC-M is targeted for a late 2017 or early 2018 startup.</t>
  </si>
  <si>
    <t>4,000 tons/day</t>
  </si>
  <si>
    <t>Beets</t>
  </si>
  <si>
    <t>6.3 MW</t>
  </si>
  <si>
    <t>http://www.northbaybusinessjournal.com/csp/mediapool/sites/NBBJ/IndustryNews/story.csp?cid=4179855&amp;sid=778&amp;fid=181    http://www.sonoma-county.org/prmd/b-c/pcbza/act_20110526.pdf</t>
  </si>
  <si>
    <t>Santa Rosa, CA FARMS to FUEL Project</t>
  </si>
  <si>
    <t>Sonoma</t>
  </si>
  <si>
    <t>BioStar Systems, LLC; Sonoma County Water Agency; Sonoma Country Transit</t>
  </si>
  <si>
    <t>Create pipeline quality gas for vehicle fuel; used to fuel Sonoma County Transit fleet, with excess sent to nearby fueling stations</t>
  </si>
  <si>
    <t>Thermophilic (50-55C)</t>
  </si>
  <si>
    <t>75,000 gal/day dairy waste; 66,000 gal/day food waste</t>
  </si>
  <si>
    <t>Dairy and food waste</t>
  </si>
  <si>
    <t>240,000 (148,000 SCFD used by Sonoma County Transit fleet)</t>
  </si>
  <si>
    <t>5.2 MWh</t>
  </si>
  <si>
    <t xml:space="preserve">Gas to be used for fuel cells to power WWTP with remainder injected into PG&amp;E pipeline. </t>
  </si>
  <si>
    <t>https://www.bioohio.com/item/quasar-energy-group-llc-collinwood-bioenergy/
http://www.crainscleveland.com/article/20130304/NORTECH13/303049980/quasar-energy-group-collinwood-bioenergy</t>
  </si>
  <si>
    <t>Collinwood BioEnergy (Quasar)</t>
  </si>
  <si>
    <t>Cuyahoga</t>
  </si>
  <si>
    <t>quasar energy group; Forest City Enterprises</t>
  </si>
  <si>
    <t>Digests biosolids, FOG, and food waste to generate electricity and produce CNG fuel</t>
  </si>
  <si>
    <t>75,000 tons/yr</t>
  </si>
  <si>
    <t>Food waste, biosolids, and FOG</t>
  </si>
  <si>
    <t>1.3 MW/day</t>
  </si>
  <si>
    <t xml:space="preserve">                                                                                                                                                                                     </t>
  </si>
  <si>
    <t>http://www.recyclingtoday.com/article/irep-montgomery-mrf/  "http://www.recyclingtoday.com/article/irep-montgomery-mrf/ 
http://www.montgomeryadvertiser.com/story/news/local/community/2016/07/20/cost-doing-business-irep/87348250/
http://www.montgomeryadvertiser.com/story/news/local/2015/11/13/dirty-goods-may-have-sunk-irep/74899002/
http://www.montgomeryadvertiser.com/story/news/2015/10/05/new-recycling-center-shuts/73378194/"</t>
  </si>
  <si>
    <t>Infinitus Renewable Energy Park (IREP)</t>
  </si>
  <si>
    <t>Montgomery</t>
  </si>
  <si>
    <t>AL</t>
  </si>
  <si>
    <t>Zero Waste Energy, LLC; Infinitus Energy</t>
  </si>
  <si>
    <t>Currently receives and processes all MSW received by city; next phase of project will install an AD to process organic material for CNG and compost production</t>
  </si>
  <si>
    <t>12,500 tons/yr (225,000)</t>
  </si>
  <si>
    <t>MSW</t>
  </si>
  <si>
    <t>City of Montgomery</t>
  </si>
  <si>
    <t xml:space="preserve">http://www.greeleytribune.com/news/local/heartland-biogas-says-shut-down-ongoing-amid-court-battle-with-weld-county/    http://www.boulderweekly.com/boulderganic/requiem-for-a-digester/  https://www.facebook.com/greeleytribune/posts/10155535036633077  http://www.rewmag.com/article/heartland-biogas-edf-renewable-partnership/ http://bizwest.com/a1-organics-heartland-biogas-complete-3-5m-facility-expansion/   http://www.npr.org/sections/thesalt/2016/04/05/472673127/how-colorado-is-turning-food-waste-into-electricity   
</t>
  </si>
  <si>
    <t>Heartland Biogas</t>
  </si>
  <si>
    <t>Weld</t>
  </si>
  <si>
    <t>Heartland Renewable Energy LLC, EDF Renewable Energy</t>
  </si>
  <si>
    <t>6 Bio Reactors (Tanks and Lagoons) produce the biogas which is then passed through a Sulfur Scrubber and a DeOxo unit so that it can be injected into a pipeline and sent to the Sacramento Municipal Utility District (SMUD)</t>
  </si>
  <si>
    <t>Organic Feedstock and dairy cow manure</t>
  </si>
  <si>
    <t>A1 organics</t>
  </si>
  <si>
    <t xml:space="preserve">http://starbioenergy.com/news/   https://www.bizjournals.com/louisville/news/2015/05/18/west-louisville-food-ports-biofuel-company-in.html  http://www.stltoday.com/business/local/property-dispute-stalls-farmworks-project/article_6b3947f5-cec3-595c-baa0-de98053650de.html </t>
  </si>
  <si>
    <t>Nature’s Methane FarmWorks</t>
  </si>
  <si>
    <t>St. Louis</t>
  </si>
  <si>
    <t>Loftworks, LLC.</t>
  </si>
  <si>
    <t>The site is a one-acre field at Cass Avenue and Collins Street. The digester will take scraps that otherwise would be dumped into landfills to produce natural gas quality biomethane which will be injected into the local natural gas distribution system and sold to a major petroleum company to fuel vehicles.</t>
  </si>
  <si>
    <t>360 tons/day</t>
  </si>
  <si>
    <t>Food scrap waster, organic waste</t>
  </si>
  <si>
    <t>Blue Skies Recycling as well as other direct contracts</t>
  </si>
  <si>
    <t>3 MW</t>
  </si>
  <si>
    <t>http://www.co.kittitas.wa.us/%2Fuploads%2Fbocc%2Fmeeting-files%2Flease-at-ryegrass/2013-07-09-Michelle%20Adams.pdf</t>
  </si>
  <si>
    <t>Kittitas County Organics Processing Site</t>
  </si>
  <si>
    <t>Kittitas</t>
  </si>
  <si>
    <t>PacifiClean Environmental, LLC</t>
  </si>
  <si>
    <t>Facility will include a wet anaerobic digestion process, primarily for food waste, that will scrub and compress biogas for use as vehicle fuel; PacifiClean’s fleet of 10 transfer trucks will use the compressed RNG</t>
  </si>
  <si>
    <t>200,000 tons/year</t>
  </si>
  <si>
    <t>Residential and commercial organic waste</t>
  </si>
  <si>
    <t>City of Seattle</t>
  </si>
  <si>
    <t>Total confirmed FW projects</t>
  </si>
  <si>
    <t xml:space="preserve"> Owner</t>
  </si>
  <si>
    <t>Waste In Place (tons)</t>
  </si>
  <si>
    <t>Daily intake, tons</t>
  </si>
  <si>
    <t>County</t>
  </si>
  <si>
    <t>Upgrading Start Date</t>
  </si>
  <si>
    <t>Developer(s)</t>
  </si>
  <si>
    <t>Description</t>
  </si>
  <si>
    <t>LFG Flow to Upgrading Project (mmscfd)</t>
  </si>
  <si>
    <t>Total LFG Collected (mmscfd)</t>
  </si>
  <si>
    <t>LFG Flared (mmscfd)</t>
  </si>
  <si>
    <t>Upgraded gas, SCFD</t>
  </si>
  <si>
    <t>End User(s)</t>
  </si>
  <si>
    <t xml:space="preserve">http://www.swtimes.com/business/fort-smith-landfill-provides-natural-gas-local-utility; http://morrowrenewables.com/highBTU-plant-projects.html
</t>
  </si>
  <si>
    <t>City of Fort Smith Landfill (Morrow Renewables)</t>
  </si>
  <si>
    <t>Fort Smith Department of Sanitation</t>
  </si>
  <si>
    <t>Sebastian</t>
  </si>
  <si>
    <t>AR</t>
  </si>
  <si>
    <t>Morrow Renewables, LLC, Cambrian Energy Development, LLC</t>
  </si>
  <si>
    <t>Physical solvent process with patented enhancements and catalytic oxygen removal - removes CO2, H2O, H2S, siloxanes, and other impurities from LFG. Creates high BTU RNG injected into the pipeline infrastructure.  Gas used down the pipeline for vehicle fuel</t>
  </si>
  <si>
    <t>Electricity production figures from http://www0.wm.com/federal/case-studies/altamont.html; LNG production figures ibid and http://www.energy.ca.gov/2014publications/CEC-500-2014-054/CEC-500-2014-054.pdf  http://altamontlandfill.wm.com/index.jsp   http://ecocomplex.rutgers.edu/ATF_BiomassFuels_LindeLNG_Luftglass.pdf http://energy-vision.org/case-studies/WM-Altamont-Profile.pdf</t>
  </si>
  <si>
    <t>Altamont Landfill (Waste Management)</t>
  </si>
  <si>
    <t>Waste Management, Inc.</t>
  </si>
  <si>
    <t>Alameda</t>
  </si>
  <si>
    <t>The Linde Group; High Mountain Fuels</t>
  </si>
  <si>
    <t>Creates LNG to fuel 300 garbage trucks; WM delivers it to their locations in the SF Bay Area mostly - Oakland, Livermore and San Leandro - with occasional deliveries to Castroville; generates electricity from landfill gas powered turbines and windmills. System's multi-step process includes compression, chilling, adsorption, and membranes to remove impurities, cleaned LFG is then cooled to -260 deg F to create 13,000 gal/day LNG for garbage trucks.</t>
  </si>
  <si>
    <t xml:space="preserve">Enough to "power LNG plant and 8000 homes annually". </t>
  </si>
  <si>
    <t>http://www.landfillgroup.com/enerdyne/projects/pitt-landfill/</t>
  </si>
  <si>
    <t>Pitt Landfill Gas, LLC</t>
  </si>
  <si>
    <t xml:space="preserve">Gas upgrading, Enerdyne; landfill, Pitt County. </t>
  </si>
  <si>
    <t>Enerdyne Power Systems</t>
  </si>
  <si>
    <t>Pitt Landfill Gas is a landfill gas to energy project located at the Pitt County Landfill in Greenville, NC. The project is a direct use (medium-btu) pipeline project which provides gas to Vidant Medical Center, formerly Pitt County Memorial Hospital, under a long-term gas purchase agreement. The hospital is approximately 2.5 miles from the landfill and the gas is delivered via a pipeline. Enerdyne provided development, construction and ongoing O&amp;M services to the project.</t>
  </si>
  <si>
    <t>Vidant Medical Center (formerly Pitt County Memorial Hospital)</t>
  </si>
  <si>
    <t>https://www.wmsolutions.com/locations/details/id/31   https://waste-management-world.com/a/waste-management-opens-19m-landfill-gas-grid-injection-facility-in-illinois</t>
  </si>
  <si>
    <t>Milam Recycling and Disposal Facility (Waste Management)</t>
  </si>
  <si>
    <t>St. Clair</t>
  </si>
  <si>
    <t>WM Renewable Energy, LLC</t>
  </si>
  <si>
    <t>Facility designed to process 3,500 cfm LF. Gas is transported via natural gas pipelines to WM’s CNG fueling stations and CNG trucks. Upgrading equipment: CO2/siloxane: Air Liquide membrane with carbon polisher. Nitrogen/Oxygen: ARI PSA.</t>
  </si>
  <si>
    <t>2.4 MW for RNG plant demand, none exported to grid. Three Cat 3516 engines running on natural gas</t>
  </si>
  <si>
    <t>Ameren Illinois Company (natural gas pipeline owner)</t>
  </si>
  <si>
    <t>http://www.wm.com/location/missouri/deffenbaugh/index.jsp   http://www.kdheks.gov/waste/workshops/works10/presentations/martinjay-collectinggasandmaintainingcompliance-2010.pdf  https://www.arb.ca.gov/fuels/lcfs/2a2b/apps/ce-ksc-cng-rpt-052815.pdf</t>
  </si>
  <si>
    <t>Johnson County Landfill (formerly Deffenbaugh) (WM, Aria)</t>
  </si>
  <si>
    <t>Landfill, Waste Management; upgrading operation,  Aria Energy</t>
  </si>
  <si>
    <t>Johnson</t>
  </si>
  <si>
    <t>Energy Investors Funds Group; Enpower Corp.; Aria (formerly Landfill Energy Systems); SouthTex Treaters, LLC</t>
  </si>
  <si>
    <t>Creates high BTU RNG injected into the pipeline infrastructure; uses a modified Selexol-type scrubbing system</t>
  </si>
  <si>
    <t>https://wastebits.com/location/jefferson-davis-parish-sanitary-landfill  http://www.countyoffice.org/welsh-landfill-welsh-la-1b7/</t>
  </si>
  <si>
    <t>Jefferson Davis Parish Landfill</t>
  </si>
  <si>
    <t>Jefferson Davis Parish Sanitary Landfill Commission</t>
  </si>
  <si>
    <t>Jefferson Davis</t>
  </si>
  <si>
    <t>LA</t>
  </si>
  <si>
    <t>Morrow Renewables, LLC</t>
  </si>
  <si>
    <t>Physical solvent process with patented enhancements and catalytic oxygen removal - removes CO2, H2O, H2S, siloxanes, and other impurities from LFG. Creates high BTU RNG injected into the pipeline infrastructure for use as vehicle fuel</t>
  </si>
  <si>
    <t>Gulf South Pipeline; Shell Energy North America</t>
  </si>
  <si>
    <t>http://riverbirchlandfill.com/energy.asp. https://www.arb.ca.gov/fuels/lcfs/2a2b/apps/sdm-rvb-cng-rpt-123015.pdf</t>
  </si>
  <si>
    <t>River Birch Landfill</t>
  </si>
  <si>
    <t>River Birch, Inc.</t>
  </si>
  <si>
    <t>Jefferson</t>
  </si>
  <si>
    <t>6/1/2010, expansions 2014 and 2017</t>
  </si>
  <si>
    <t>River Birch, Inc.; Keystone Renewable Energy, LLC</t>
  </si>
  <si>
    <t xml:space="preserve">Atmos Energy Corporation? According to lifecycle assessment of gas by ICF, gas is being piped to San Diego Metro transit. </t>
  </si>
  <si>
    <t>http://biocng.us/projects/st-landry-parish-landfill-gas-energy-project/   http://www.tetratech.com/en/projects/st-landry-parish-landfill-biocng-project-louisiana   https://www.epa.gov/sites/production/files/2016-05/documents/05_k_martin_presentation.pdf  https://wasteadvantagemag.com/st-landry-parish-solid-waste-disposal-district-turning-landfill-gas-into-biofuel/</t>
  </si>
  <si>
    <t>St. Landry Parish Landfill</t>
  </si>
  <si>
    <t>St. Landry Parish Solid Waste Disposal District</t>
  </si>
  <si>
    <t xml:space="preserve">St. Landry </t>
  </si>
  <si>
    <t>BioCNG; St. Landry Parish Solid Waste Disposal District</t>
  </si>
  <si>
    <t>http://www.nthconsultants.com/richfield-sanitary-landfill.html  http://www.mlive.com/news/flint/index.ssf/2014/04/potential_buyer_of_richfield_l.html  http://www.mlive.com/news/flint/index.ssf/2012/11/state_deq_official_says_new_ri.html</t>
  </si>
  <si>
    <t>Richfield Landfill ("Blue Sky") (Blue Skies Energy)</t>
  </si>
  <si>
    <t>Richfield Landfill, Inc.</t>
  </si>
  <si>
    <t>Genesee</t>
  </si>
  <si>
    <t>Blue Skies Energy, LLC</t>
  </si>
  <si>
    <t>Uses UOP Separex Membrane Technology to create pipeline quality natural gas from LFG. Aria Energy buying all output.</t>
  </si>
  <si>
    <t>Great Lakes Gas Transmission Company, gas going to Apple facility in North Carolina to power fuel cells</t>
  </si>
  <si>
    <t>http://biocng.us/wp-content/uploads/2015/06/Riverview-Fact-Sheet-2015.pdf</t>
  </si>
  <si>
    <t>Riverview Land Preserve</t>
  </si>
  <si>
    <t>City of Riverview</t>
  </si>
  <si>
    <t>May 2013</t>
  </si>
  <si>
    <t>BioCNG</t>
  </si>
  <si>
    <t>BioCNG system fuels 7 city vehicles and an AT&amp;T fleet.100 cfm LFG yields 450-500 GGE/day CNG for City vehicles</t>
  </si>
  <si>
    <t>6.4 MW</t>
  </si>
  <si>
    <t>City of Riverview, MI</t>
  </si>
  <si>
    <t>http://www2.ljworld.com/news/2016/sep/28/hamm-landfill-construct-methane-gas-plant-and-pipe/   
https://assets.lawrenceks.org/assets/agendas/cc/2016/09-20-16/pw_rpp_description.pdf
http://www.landfillgroup.com/enerdyne/projects/renewable-power/
http://www2.ljworld.com/news/2017/sep/26/editorial-methane-plant-positive/?opinion
http://www.rngcoalition.com/news/2017/9/22/enerdyne-power-systems-commissions-rng-project-in-lawrence-ks</t>
  </si>
  <si>
    <t>Hamm Sanitary Landfill/Renewable Power Producers</t>
  </si>
  <si>
    <t xml:space="preserve">RNG project, Renewable Power Producers LLC
Landfill: Hamm Inc. </t>
  </si>
  <si>
    <t>Renewable Power Producers</t>
  </si>
  <si>
    <t>Renewable Power Producers is a landfill gas to pipeline quality natural gas processing facility located at the Hamm Sanitary Landfill in Lawrence, KS. The project is currently in development and is expected to become commercially operational in the second quarter of 2017. The facility is designed to process up to 3.7 mmscf/day and will sell high btu gas under a long-term gas purchase agreement.  Enerdyne secured the gas rights to this project in 2015 and is currently providing development, construction and equipment fabrication services during the pre-operational phase and will provide O&amp;M services after the project becomes commercially operational.</t>
  </si>
  <si>
    <t>http://www.michigan.gov/deq/0,4561,7-135-3312_4123-197993--,00.html   http://www.cornerstoneeg.com/project-experience/sauk-trail-hills-landfill/</t>
  </si>
  <si>
    <t>Sauk Trail Hills Landfill (Republic Services, Aria)</t>
  </si>
  <si>
    <t>Landfill, Republic Services, Inc. Gas upgrading, Aria Energy &amp; BP</t>
  </si>
  <si>
    <t>Clean Energy Fuels</t>
  </si>
  <si>
    <t>(2) Totara+ LFG upgrading systems ("water wash"). Creates high BTU RNG injected into the pipeline infrastructure and distributed by DTE Gas; RNG also distributed for vehicle fuel use to Republic Services natural gas fleets. When fully operational project should supply 6 million diesel GGE per year</t>
  </si>
  <si>
    <t>Sold to Clean Energy Fuels for distribution as Redeem RNG vehicle fuel. Primarily medium and heavy duty fleets like Republic Services trash collection vehicles.</t>
  </si>
  <si>
    <t>https://yosemite.epa.gov/r5/r5ard.nsf/8a853ab744d510c68625745800533fd5/9adb735c43ab5a7486257fd40054716a/$FILE/westside.recycling.pdf   https://dtepowerandindustrial.com/project/westside-gas-producers/</t>
  </si>
  <si>
    <t>Westside Recycling and Disposal Facility (WM, DTE Biomass Energy)</t>
  </si>
  <si>
    <t>Landfill, Waste Management; biogas and upgrading operations, DTE Biomass Energy</t>
  </si>
  <si>
    <t>St. Joseph</t>
  </si>
  <si>
    <t>DTE Biomass Energy, Waste Management</t>
  </si>
  <si>
    <t>Injected into the Consumers Energy pipeline and sold to a third party to be dispensed into CNG/LNG vehicles</t>
  </si>
  <si>
    <t>http://ci.billings.mt.us/2551/Landfill   http://billingsgazette.com/news/local/billings-aims-to-boost-landfill-gas-collection-buy-trucks-run/article_13593e4f-9441-50a1-8408-15989ff34209.html</t>
  </si>
  <si>
    <t xml:space="preserve">Billings Regional Landfill </t>
  </si>
  <si>
    <t>City of Billings</t>
  </si>
  <si>
    <t>Yellowstone</t>
  </si>
  <si>
    <t>MT</t>
  </si>
  <si>
    <t>Montana-Dakota Utilities Co.; LFG Technologies, Inc.</t>
  </si>
  <si>
    <t xml:space="preserve">Creates high BTU RNG injected into the pipeline infrastructure. Also fuels 14 CNG sanitation trucks. Air Liquide process for upgrade to 2,300 scfm of high Btu gas; uses combination of pressure swing adsorption and membrane technology. Guild PSA Stage #1 system removes water vapor, H2S, siloxanes, non-methane hydrocarbons, organic halides, and CO2; Molecular Gate PSA Stage #2 system removes nitrogen; tail gas is 46% CH4 and used in a genset to provide power to the facility
</t>
  </si>
  <si>
    <t>Montana-Dakota Utilities Co.</t>
  </si>
  <si>
    <t xml:space="preserve">http://www.omaha.com/news/metro/company-wants-to-refine-sell-methane-gas-at-old-state/article_4759dc06-602b-5aa1-84ea-878cd2bdd7ff.html. </t>
  </si>
  <si>
    <t>Douglas County Landfill-- State Street (BioResource Development)</t>
  </si>
  <si>
    <t>Douglas County Environmental Services</t>
  </si>
  <si>
    <t>Douglas</t>
  </si>
  <si>
    <t>BioResource Development</t>
  </si>
  <si>
    <t>Cleans LFG so that the methane can be injected into a natural gas pipeline. Using proprietary gas upgrading technology. 3-mile, 2-inch polyamide 11 (PA11) pipeline made of a thermoplastic resin (derived from a bio-renewable source) to withstand pressure of up to 200 psi, transports LFG to utility’s 12-inch gas main in Omaha that feeds its liquefaction facility</t>
  </si>
  <si>
    <t>Metropolitan Utilities District </t>
  </si>
  <si>
    <t>http://freshkillspark.org/landfill-engineering/monitoring    http://freshkillspark.org/the-park/landfill-engineering    http://freshkillspark.org/landfill-engineering/collection-and-processing</t>
  </si>
  <si>
    <t>Fresh Kills Landfill (Montauk)</t>
  </si>
  <si>
    <t>New York City Department of Sanitation</t>
  </si>
  <si>
    <t xml:space="preserve">Landfill closed </t>
  </si>
  <si>
    <t>Richmond</t>
  </si>
  <si>
    <t>NY</t>
  </si>
  <si>
    <t>Montauk Energy Capital, Air Products</t>
  </si>
  <si>
    <t>Creates high BTU RNG injected into the National Grid pipeline infrastructure; uses Selexol technology</t>
  </si>
  <si>
    <t xml:space="preserve">National Grid </t>
  </si>
  <si>
    <t>http://www.senecameadows.com/facilities_energy.php  http://www.ariaenergy.com/aria-energy-completes-expansion-of-rng-project-at-seneca-meadows-landfill/  https://www.naturalcapitalpartners.com/projects/project/seneca-meadows-landfill-gas http://www.ariaenergy.com/aria-energys-seneca-energy-ii-renewable-national-gas-facility-receives-project-of-the-year-award-from-u-s-epa-landfill-methane-outreach-program/</t>
  </si>
  <si>
    <t>Seneca Meadows SWMF (Progressive)</t>
  </si>
  <si>
    <t>Progressive Waste Solutions Ltd.</t>
  </si>
  <si>
    <t>Seneca</t>
  </si>
  <si>
    <t>Aria Energy; Innovative Energy Systems, LLC</t>
  </si>
  <si>
    <t>LFG-to-RNG plant; initially 3,000 cfm LFG inlet / 1,425 cfm RNG outlet; design capacity is 6,000 cfm LFG inlet; uses Air Liquide-MEDAL system; end uses of piped gas include electricity generation at NG power plant and by fuel cells, CNG production. LFG-to-RNG plant; initially 3,000 cfm LFG inlet / 1,425 cfm RNG outlet; design capacity is 6,000 cfm LFG inlet; uses Air Liquide-MEDAL system; end uses of piped gas include electricity generation at NG power plant and by fuel cells, CNG production</t>
  </si>
  <si>
    <t>18.5MW via reciprocating engines</t>
  </si>
  <si>
    <t>BP Energy Company; Sacramento Municipal Utility District (SMUD)</t>
  </si>
  <si>
    <t>http://americanlandfill.wm.com/facility-information/index.jsp   http://americanlandfill.wm.com/facility-information/landfill-gas-to-energy.jsp 
http://blog.cleveland.com/business/2008/12/roadell_hickman_the_plain_deal.html  https://www.wmsolutions.com/pdf/factsheet/AmericanLandfill.pdf</t>
  </si>
  <si>
    <t>American (WM)</t>
  </si>
  <si>
    <t>WM Renewable Energy</t>
  </si>
  <si>
    <t>http://www.cfswma.com/   http://www.dispatch.com/article/20150422/news/304229729</t>
  </si>
  <si>
    <t>Franklin County Sanitary Landfill (Aria)</t>
  </si>
  <si>
    <t>Solid Waste Authority of Central Ohio</t>
  </si>
  <si>
    <t>Aria Energy</t>
  </si>
  <si>
    <t xml:space="preserve">High BTU-LFG is injected into the NG pipeline with a contract to Sacramento Municipal Utility District. 300 cfm LFG is cleaned via CO2 Wash® equipment to create 800-1,000 gasoline gallon equivalents per day of CNG for use in SWACO &amp; other area fleets.
</t>
  </si>
  <si>
    <t>Columbia Gas of Ohio, BP</t>
  </si>
  <si>
    <t>https://dtepowerandindustrial.com/project/pinnacle-gas-producers/    http://infohouse.p2ric.org/ref/05/04575.pdf   https://www.newlook.dteenergy.com/wps/wcm/connect/dte-web/dte-pages/dte-biomass-energy/projects</t>
  </si>
  <si>
    <t>Pinnacle Road Landfill (North Sanitary Landfill) (WM, DTE Biomass Energy)</t>
  </si>
  <si>
    <t>650 tpd</t>
  </si>
  <si>
    <t>Waste Management, DTE Biomass Energy, Inc.</t>
  </si>
  <si>
    <t>https://www.rumpke.com/docs/default-document-library/rslfactsheet.pdf     https://www.rumpke.com/newsroom/article/2011/10/04/rumpke-fuels-fleet-with-garbage</t>
  </si>
  <si>
    <t>Rumpke Sanitary Landfill</t>
  </si>
  <si>
    <t>Rumpke Consolidated Companies</t>
  </si>
  <si>
    <t>Hamilton</t>
  </si>
  <si>
    <t>1986, expansions in 1995 and 2007</t>
  </si>
  <si>
    <t>GSF Energy; Montauk Energy Capital</t>
  </si>
  <si>
    <t>Duke Energy, Rumpke</t>
  </si>
  <si>
    <t>http://stonyhollowlandfill.com/  http://www.mitchellwilliamslaw.com/landfill-gas-emissions/common-law-action-us-district-court-addresses-motion-to-dismiss</t>
  </si>
  <si>
    <t>Stony Hollow Landfill (WM, DTE Biomass Energy)</t>
  </si>
  <si>
    <t>Landfill, Waste Management, Inc.; upgrading project, DTE Biomass Energy</t>
  </si>
  <si>
    <t>Creates high BTU RNG injected into the pipeline infrastructure; uses Kryosol (methanol) technology; combined facility with Pinnacle Road Landfill, with Stony Hollow Landfill providing about 70% LFG flow to project. All figures on this project based on 70%.  Gas processing equipment removes CO2 to produce methane meeting NG pipeline quality specifications; uses Kryosol Solvent technology</t>
  </si>
  <si>
    <t>http://oklahomacitylandfill.com/   http://energyneeringsolutions.com/projects/project-list/  http://biomassmagazine.com/articles/14873/rng-coalition-celebrates-new-projects-launches-video</t>
  </si>
  <si>
    <t>Oklahoma City Landfill (Waste Connections, Aria)</t>
  </si>
  <si>
    <t>Landfill: Waste Connections, Inc. Gas and upgrading projects: Aria Energy</t>
  </si>
  <si>
    <t>Oklahoma</t>
  </si>
  <si>
    <t>April 2008</t>
  </si>
  <si>
    <t>Timberline Energy (rolled up into Aria Energy)</t>
  </si>
  <si>
    <t>Creates high BTU RNG compressed and delivered to the Southern Star pipeline. 3 MMSCFD facility removes water, H2S, and organic compounds from the LFG, then removes CO2 in a 2-stage Air Liquide membrane separator.</t>
  </si>
  <si>
    <t>https://www.wmsolutions.com/locations/details/id/219  https://www.bloomberg.com/research/stocks/private/snapshot.asp?privcapId=78354776  http://www.dep.pa.gov/Business/Land/Waste/SolidWaste/MunicipalWaste/MunicipalWastePermitting/Pages/MW-Landfills-and-Resource-Recovery-Facilities.aspx</t>
  </si>
  <si>
    <t>Laurel Highlands Landfill (WM, Montauk Energy)</t>
  </si>
  <si>
    <t>Waste Management, Inc. Upgrading operation: Montauk Energy</t>
  </si>
  <si>
    <t>Cambria</t>
  </si>
  <si>
    <t>Keystone Renewable Energy, LLC (original); Leaf Clean Energy; Air Liquide-MEDAL</t>
  </si>
  <si>
    <t>Element Markets</t>
  </si>
  <si>
    <t>https://www.wmsolutions.com/locations/details/id/220</t>
  </si>
  <si>
    <t>Monroeville Landfill (WM)</t>
  </si>
  <si>
    <t>Allegheny</t>
  </si>
  <si>
    <t>Montauk Energy Capital</t>
  </si>
  <si>
    <t>Creates high BTU RNG injected into the pipeline infrastructure using membrane technology</t>
  </si>
  <si>
    <t>Equitable Gas Company</t>
  </si>
  <si>
    <t>http://www.advanceddisposal.com/pa/kersey/greentree-landfill  http://www.advanceddisposal.com/UploadedFiles/pdf/FacilityPDF/143/573/Advanced%20Disposal%20Landfill%20Gas-to-Energy%20Insert%2012.2015.pdf</t>
  </si>
  <si>
    <t>Advanced Disposal Services Greentree Landfill, LLC (Advanced Disposal, EDF Renewables)</t>
  </si>
  <si>
    <t xml:space="preserve">Advanced Disposal Services owns landfill, EDF Renewables own upgrading facility. </t>
  </si>
  <si>
    <t>Elk</t>
  </si>
  <si>
    <t>enXco LFG Holdings, LLC; American Exploration; Beacon Generating, LLC</t>
  </si>
  <si>
    <t xml:space="preserve">Creates high BTU RNG, all gas goes to National Fuel Interstate Pipeline and then to power plant. 7-mi pipeline transports high Btu gas (7,000 MMBtu/day, 2+Bcf/yr) for use in combined-cycle equipment to create RECs to satisfy RPS requirements, plant capacity is 15.12 mmscfd, cleaning: Air Liquide membrane technology, PSA and activated carbon pretreatment system. All gas sold to Shell North America for export to California to generate electricity. Hope to be putting it into vehicle market in future. </t>
  </si>
  <si>
    <t xml:space="preserve">All exported for electricity use, none generated on site. </t>
  </si>
  <si>
    <t>http://www.edf-re.com/project/imperial-landfill-biogas/   http://site.republicservices.com/corporate/planet/renewableenergy/landfill-gas-energy.aspx</t>
  </si>
  <si>
    <t>Imperial Sanitary Landfill (Republic, EDF Renewables)</t>
  </si>
  <si>
    <t xml:space="preserve">Republic Services, Inc. owns landfill; EDF Renewables owns upgrading facility. </t>
  </si>
  <si>
    <t>enXco LFG Holdings, LLC</t>
  </si>
  <si>
    <t xml:space="preserve">All exported for electricity. </t>
  </si>
  <si>
    <t>Shell Energy North America</t>
  </si>
  <si>
    <t>http://www.senecalandfill.com/  http://www.senecalandfill.com/about-seneca-landfill  http://www.dep.pa.gov/Business/Land/Waste/SolidWaste/MunicipalWaste/Landfill-Methane-Outreach-Program/Pages/PA-Landfill-Methane-Projects.aspx</t>
  </si>
  <si>
    <t>Seneca Landfill</t>
  </si>
  <si>
    <t>Vogel Holdings, Inc.</t>
  </si>
  <si>
    <t>Butler</t>
  </si>
  <si>
    <t>Keystone Renewable Energy, LLC; RenewCo</t>
  </si>
  <si>
    <t>300kW on-site generation</t>
  </si>
  <si>
    <t>Peoples Natural Gas</t>
  </si>
  <si>
    <t>http://www.dep.pa.gov/Business/Land/Waste/SolidWaste/MunicipalWaste/Landfill-Methane-Outreach-Program/Pages/PA-Landfill-Methane-Projects.aspx  http://www.somersetcountychamber.com/MemberDirectory/BusinessDetailView/tabid/2252/ItemId/2020/Shade-Landfill-Inc.aspx  https://www.ccpa.net/DocumentCenter/View/17513 https://www.wmsolutions.com/locations/details/id/224</t>
  </si>
  <si>
    <t>Shade Landfill (WM, Montauk)</t>
  </si>
  <si>
    <t>Waste Management, Inc., Montauk Energy Capital</t>
  </si>
  <si>
    <t>Somerset</t>
  </si>
  <si>
    <t>Keystone Renewable Energy, LLC (original); Leaf Clean Energy; RenewCo</t>
  </si>
  <si>
    <t>Creates high BTU RNG injected into the pipeline infrastructure. 12-mi pipeline from Shade LF and 2.5-mi pipeline from Southern Alleghenies LF deliver 970 Btu gas; uses membrane technology; total delivery to pipeline from both landfills is 650,000 MMBtu/yr.</t>
  </si>
  <si>
    <t>Southern Alleghenies Landfill (WM, Montauk)</t>
  </si>
  <si>
    <t>Montauk Energy Capital, Waste Management, Inc.</t>
  </si>
  <si>
    <t>Keystone Renewable Energy, LLC; Leaf Clean Energy</t>
  </si>
  <si>
    <t>Creates high BTU RNG injected into the pipeline infrastructure. 12-mi pipeline from Shade LF and 2.5-mi pipeline from Southern Alleghenies LF deliver 970 Btu gas; uses Air Liquide membrane separation technology; total delivery to pipeline from both landfills is 650,000 MMBtu/yr</t>
  </si>
  <si>
    <t>https://www.wmsolutions.com/locations/details/id/167   http://www.energysystemsgroup.com/projectprofiles/waste_to_energy/irisglen/index.html  http://www.energydevelopments.com.au/</t>
  </si>
  <si>
    <t>Iris Glen Landfill (WM, Energy Developments)</t>
  </si>
  <si>
    <t xml:space="preserve">Landfill, City of Johnson City, TN, run by Waste Management; gas upgrading, Energy Developments Inc. </t>
  </si>
  <si>
    <t>TN</t>
  </si>
  <si>
    <t>Energy Systems Group, LLC</t>
  </si>
  <si>
    <t>High BTU-LFG is supplied to Mountain Home Energy Center via a 22,000 foot pipeline. Steam and power supplied to Veterans Administration hospital, East Tennessee State University buildings, and the civic center. PSA, carbon filter, &amp; membrane filtration system, ~90% pipeline quality gas (~875 Btu/scf), ~4 mi pipeline, capacity of 100,000 lb/hr steam, 7.5 MW, &amp; chilled water (offsets NG use in 4 industrial boilers or 3.5 MW engine/genset)</t>
  </si>
  <si>
    <t>5600 MW annually via reciprocating engines</t>
  </si>
  <si>
    <t>Veterans Affairs Medical Center, Mountain Home</t>
  </si>
  <si>
    <t>http://www.meadowbranchlandfill.com/</t>
  </si>
  <si>
    <t>Meadow Branch Landfill (Waste Connections)</t>
  </si>
  <si>
    <t>Waste Connections, Inc.</t>
  </si>
  <si>
    <t>McMinn</t>
  </si>
  <si>
    <t>Renewco LLC; Keystone Renewable Energy, LLC</t>
  </si>
  <si>
    <t>Creates high BTU RNG injected into the pipeline infrastructure with end user contracts. 9.5-mile, 4-inch steel pipeline delivers ~1,000 MMBtu/day initially; refrigeration, PSA, carbon filtration, membrane separation, Air Liquide-Medal Biogaz System clean LFG to pipeline quality standards</t>
  </si>
  <si>
    <t>http://www.fleetsandfuels.com/tag/north-shelby-landfill/   https://www.cleanenergyfuels.com/release-archive/republic-services-clean-energy-sign-renewable-biomethane-recovery-agreement-for-tennessee-landfill/</t>
  </si>
  <si>
    <t>North Shelby Landfill (Republic, Aria)</t>
  </si>
  <si>
    <t>9/20/2014</t>
  </si>
  <si>
    <t>High-BTU plant, with product to be injected into the natural gas grid, some contracts but there is some that gets to transportation. Plant is anticipated to produce ~4 million diesel GGE of renewable natural gas fuel annually, steadily increasing to more than 5.7 million diesel GGE annually during the first 10 years of operations. Uses pressure swing adsorption (PSA) upgrading technology. Plant is anticipated to produce ~4 million diesel GGE of renewable natural gas fuel annually, steadily increasing to more than 5.7 million diesel GGE annually during the first 10 years of operations.</t>
  </si>
  <si>
    <t>Memphis Light, Gas and Water</t>
  </si>
  <si>
    <t>http://www.wastedive.com/news/morrow-energy-steps-in-to-help-texas-city-get-wte-plant/406302/</t>
  </si>
  <si>
    <t>Edinburg Landfill (Morrow)</t>
  </si>
  <si>
    <t>City of Edinburg. TX</t>
  </si>
  <si>
    <t>Hidalgo</t>
  </si>
  <si>
    <t>Morrow Renewables</t>
  </si>
  <si>
    <t>https://www.epa.gov/sites/production/files/2016-05/documents/10ftbend.pdf   https://www.newlook.dteenergy.com/wps/wcm/connect/dte-web/dte-pages/dte-biomass-energy/projects</t>
  </si>
  <si>
    <t>Fort Bend Regional Landfill (DTE Biomass Energy)</t>
  </si>
  <si>
    <t xml:space="preserve">Landfill, Waste Corporation of Texas, LLC; gas upgrading, DTE Biomass Energy </t>
  </si>
  <si>
    <t>Fort Bend</t>
  </si>
  <si>
    <t>June 2013</t>
  </si>
  <si>
    <t>GHI Energy</t>
  </si>
  <si>
    <t>http://www.cityoftyler.org/Departments/SolidWaste/Landfill.aspx https://www.arb.ca.gov/fuels/lcfs/2a2b/apps/shell-tt-rpt-091815.pdf   http://morrowrenewables.com/highBTU-plant-projects.html   http://www.globalmethane.org/documents/toolsres_lfg_IBPGAppendixA.pdf</t>
  </si>
  <si>
    <t>Landfill owned by City of Tyler, operated by Republic Services. Energy facility owned by Morrow Renewables</t>
  </si>
  <si>
    <t>Smith</t>
  </si>
  <si>
    <t xml:space="preserve">Creates high BTU RNG injected into the pipeline infrastructure; landfill truck fleet powered by on-site CNG refueling station. Physical solvent process with patented enhancements to remove CO2, H2O, H2S, siloxanes, and other impurities from LFG; gas used down the pipeline for vehicle fuel. </t>
  </si>
  <si>
    <t>Gulf South Pipeline; Los Angeles Department of Water &amp; Power (LADWP); Shell Energy North America</t>
  </si>
  <si>
    <t>http://montaukenergy.com/?portfolio=mccarty-road-landfill</t>
  </si>
  <si>
    <t>McCarty Road Landfill (Republic, Montauk)</t>
  </si>
  <si>
    <t>Republic Services, Inc., landfill
Montauk owns upgrading system, operates gas collection system</t>
  </si>
  <si>
    <t>Started March 1986, expanded 2005</t>
  </si>
  <si>
    <t>Commercial fleet vehicles</t>
  </si>
  <si>
    <t>http://www3.dallascityhall.com/committee_briefings/briefings0210/TE_GreenEnergy_McCommas_020810.pdf  https://www.cleanenergyfuels.com/press-room/clean-energy-sells-interest-in-mccommas-bluff-biomethane-production-facility-to-project-partner-cambrian-energy-adds-12-additional-biomethane-sources-for-redeem/</t>
  </si>
  <si>
    <t xml:space="preserve">City of Dallas, Energy Power Partners </t>
  </si>
  <si>
    <t>Dallas</t>
  </si>
  <si>
    <t>Cambrian Energy Development, Clean Energy Fuels</t>
  </si>
  <si>
    <t>Creates high BTU RNG injected into the pipeline infrastructure. Original gas cleaning equipment included: SulfaTreat, temperature swing adsorption (TSA), pressure swing adsorption (PSA) for CO2 removal, and thermal oxidizer. Facility capacity: inlet 15.5 mmscfd raw LFG is capable of producing 9,000 MMBtu/day of renewable natural gas; the RNG is predominantly used to produce renewable electric power by a municipal utility in California.</t>
  </si>
  <si>
    <t>Sacramento Municipal Utility District (SMUD); Shell Energy North America</t>
  </si>
  <si>
    <t>http://www.amtrib.com/news/20170131/company-plans-to-capture-methane-gas-at-melissa-landfill  http://biomassmagazine.com/articles/14873/rng-coalition-celebrates-new-projects-launches-video</t>
  </si>
  <si>
    <t>North Texas Municipal Water District, Melissa ("NTMWD") (Morrow)</t>
  </si>
  <si>
    <t>Landfill, North Texas Water District; upgrading operation, Morrow Renewables</t>
  </si>
  <si>
    <t>https://www.longviewtexas.gov/2704/Pine-Hill-Landfill  http://biomassmagazine.com/articles/14873/rng-coalition-celebrates-new-projects-launches-video</t>
  </si>
  <si>
    <t>https://www.wasteconnections.com/turkey-creek-landfill  http://www.prweb.com/releases/2012/10/prweb10047799.htm   http://morrowrenewables.com/highBTU-plant-projects.html</t>
  </si>
  <si>
    <t>IESI</t>
  </si>
  <si>
    <t>Physical solvent process with patented enhancements and catalytic oxygen removal - removes CO2, H2O, H2S, siloxanes, and other impurities from LFG. Gas is transported and sold into adjoining natural gas pipeline</t>
  </si>
  <si>
    <t>Shell Energy North America, for sale to California renewable portfolio standard (RPS) market</t>
  </si>
  <si>
    <t>http://kingcounty.gov/depts/dnrp/solid-waste/facilities/landfills/cedarhills.aspx    http://kingcounty.gov/depts/dnrp/solid-waste/facilities/landfills/landfill-gas.aspx</t>
  </si>
  <si>
    <t>Cedar Hills Regional Landfill</t>
  </si>
  <si>
    <t>King County Solid Waste Division</t>
  </si>
  <si>
    <t>King</t>
  </si>
  <si>
    <t>Bio Energy Washington</t>
  </si>
  <si>
    <t xml:space="preserve">Creates high BTU RNG injected into the pipeline infrastructure without end user contracts. Membrane technology cleans LFG to pipeline quality. </t>
  </si>
  <si>
    <t>Puget Sound Energy</t>
  </si>
  <si>
    <t>http://biocng.us/wp-content/uploads/2015/06/Dane-County-Fact-Sheet-2015.pdf  http://host.madison.com/wsj/news/local/govt-and-politics/dane-county-leads-switch-to-selling-gas-made-by-manure/article_f235b17c-1477-5269-9446-ffa173df4d80.html</t>
  </si>
  <si>
    <t>Dane County Public Works</t>
  </si>
  <si>
    <t>Dane</t>
  </si>
  <si>
    <t>http://www.psc.state.wv.us/press/2010/press_20101203.pdf  http://www.downstreamstrategies.com/documents/reports_publication/Prospects_for_landfill_gas-to-energy_WV_May2006.pdf</t>
  </si>
  <si>
    <t>City of Charleston Landfill (WM)</t>
  </si>
  <si>
    <t>Landfill, Waste Management</t>
  </si>
  <si>
    <t>WV</t>
  </si>
  <si>
    <t>Tallarico Energy</t>
  </si>
  <si>
    <t>CNG/LNG vehicles</t>
  </si>
  <si>
    <t xml:space="preserve">CONFIRMED UNDER CONSTRUCTION </t>
  </si>
  <si>
    <t>http://www.b-e-f.org/project-portfolio/eagle-point-landfill-project/  http://www.itcoworld-usa.com/Pdf/Eagle%20Point%20Landfill%20HBTU%20Project%20Definition%205-2011.pdf</t>
  </si>
  <si>
    <t>Eagle Point (Advanced Disposal, Aria)</t>
  </si>
  <si>
    <t>GA</t>
  </si>
  <si>
    <t>BP</t>
  </si>
  <si>
    <t>https://www.ktbs.com/news/new-greenhouse-gas-converter-facility-at-landfill-ok-d-by/article_2ce37e73-7218-5da5-aa01-93ddecc609cf.html https://www.shreveportla.gov/487/Landfills   http://site.republicservices.com/corporate/planet/renewableenergy/landfill-gas-energy.aspx</t>
  </si>
  <si>
    <t>Keithville (Republic, Element Markets)</t>
  </si>
  <si>
    <t xml:space="preserve">Landfill, Republic Services </t>
  </si>
  <si>
    <t>Uses pressure swing adsorption upgrading technology. Gas is injected into common carrier for use in vehicle fuels market</t>
  </si>
  <si>
    <t>http://www.dleg.state.mi.us/mpsc/orders/gas/2016/u-18107_8-23-16.pdf  http://biomassmagazine.com/articles/14873/rng-coalition-celebrates-new-projects-launches-video</t>
  </si>
  <si>
    <t>Waste Management Woodland Meadows (WM, Ameresco)</t>
  </si>
  <si>
    <t>Landfill: Waste Management of Michigan; Upgrading system, Ameresco Woodland Meadows Romulus</t>
  </si>
  <si>
    <t>Ameresco</t>
  </si>
  <si>
    <t>http://www.djournal.com/news/business/walnut-to-get-air-liquide-biogas-purification-plant/article_4c84637e-f8e3-5a19-acd4-67977d08f1cb.html   https://www.airliquide.com/united-states-america/first-landfill-biogas-purification-plant-us</t>
  </si>
  <si>
    <t>North East Mississippi Regional Landfill (Air Liquide)</t>
  </si>
  <si>
    <t>MS</t>
  </si>
  <si>
    <t>Air Liquide</t>
  </si>
  <si>
    <t>Using gas separation membrane technology</t>
  </si>
  <si>
    <t>http://journalstar.com/news/state-and-regional/nebraska/butler-county-board-hears-support-opposition-to-landfill-expansion/article_aadc543f-34de-57e4-a675-bfce43cb16e0.html  http://biomassmagazine.com/articles/14873/rng-coalition-celebrates-new-projects-launches-video</t>
  </si>
  <si>
    <t>Butler County (Waste Connections, Aria)</t>
  </si>
  <si>
    <t>Landfill, Waste Connections; upgrading system, Aria Energy</t>
  </si>
  <si>
    <t xml:space="preserve">Aria Energy </t>
  </si>
  <si>
    <t>Constellation Energy</t>
  </si>
  <si>
    <t>NJ</t>
  </si>
  <si>
    <t>http://biomassmagazine.com/articles/6108/ohio-landfill-gas-to-pipeline-project-underway</t>
  </si>
  <si>
    <t>APEX Sanitary Landfill (Apex, Montauk)</t>
  </si>
  <si>
    <t>Landfill, APEX Environmental, LLC. Upgrading, Montauk Energy</t>
  </si>
  <si>
    <t>Q2 2018</t>
  </si>
  <si>
    <t>Element Markets, LLC</t>
  </si>
  <si>
    <t xml:space="preserve">Creates high BTU RNG injected into the pipeline infrastructure. Uses membrane separation technology. </t>
  </si>
  <si>
    <t>https://applications.deq.ok.gov/permitspublic/storedpermits/4199.pdf   http://newsok.com/article/5428851</t>
  </si>
  <si>
    <t>Southeast Oklahoma (Republic, Aria)</t>
  </si>
  <si>
    <t>https://www.hubs.com/power/explore/2016/06/pjm-revises-wholesale-deal-for-landfill-gas-fired-project-in-pennsylvania   http://www.wwllcgroup.com/contact.html</t>
  </si>
  <si>
    <t>Westmoreland Waste, LLC</t>
  </si>
  <si>
    <t>Noble Environmental, LLC</t>
  </si>
  <si>
    <t>CNG, LNG vehicles</t>
  </si>
  <si>
    <t>http://montaukenergy.com/?portfolio=atascocita-landfill  https://upstatebusinessjournal.com/news/new-composting-facility-unveiled-at-twin-chimneys-landfill/</t>
  </si>
  <si>
    <t>Atascocita (WM, Montauk)</t>
  </si>
  <si>
    <t>Using membrane separation upgrading technology</t>
  </si>
  <si>
    <t>http://www.seabreezelandfill.com/  http://www.wasteconnectionsangleton.com/landfill  http://newsroom.dteenergy.com/2017-05-25-DTE-Biomass-Acquires-Renewable-Natural-Gas-Facilities#sthash.pxgaKaX9.dpbs</t>
  </si>
  <si>
    <t>Seabreeze Environmental Landfill (Seabreeze, DTE Biomass)</t>
  </si>
  <si>
    <t>Biomethane will be sent down the pipeline for use as vehicle fuel by a third party.  Upgrading done by physical solvent process with patented enhancements and catalytic oxygen removal to remove CO2, H2O, H2S, siloxanes, and other impurities from LFG</t>
  </si>
  <si>
    <t>Unidentified CNG and LNG stations</t>
  </si>
  <si>
    <t>http://www.klickitatpud.com/topicalMenu/about/powerResources/hwHillGasProject.aspx   https://thetrashblog.com/2013/05/20/roosevelt-ridge-gas-to-energy-facility/   http://local.republicservices.com/site/roosevelt</t>
  </si>
  <si>
    <t>Roosevelt Regional Landfill (Republic)</t>
  </si>
  <si>
    <t>Landfill, Republic Services, Inc. Gas upgrading, KPUD</t>
  </si>
  <si>
    <t>KPUD</t>
  </si>
  <si>
    <t xml:space="preserve">http://blueridgelandfill.com/  http://site.republicservices.com/corporate/planet/renewableenergy/landfill-gas-energy.aspx </t>
  </si>
  <si>
    <t>Republic Services Blue Ridge Landfill ("Houston") (Morrow)</t>
  </si>
  <si>
    <t>http://www.co.burlington.nj.us/399/Facilities  https://www.techchecknews.com/tech/burlington-county-to-turn-landfill-gases-to-renewable-energy/</t>
  </si>
  <si>
    <t>Burlington County Board of Chosen Freeholders</t>
  </si>
  <si>
    <t>Burlington</t>
  </si>
  <si>
    <t>Acrion Technologies, Inc.; Mack Trucks, Inc.</t>
  </si>
  <si>
    <t>Pilot project where two natural gas Mack trucks manufactured for waste management would ran on liquid natural gas made from clean landfill methane; shut down in early 2005</t>
  </si>
  <si>
    <t>Croton Point Landfill</t>
  </si>
  <si>
    <t>Westchester County</t>
  </si>
  <si>
    <t>Westchester</t>
  </si>
  <si>
    <t>Methane gas used as alternative fuel for Croton Point Park vehicles; shut down at end of 1997</t>
  </si>
  <si>
    <t>Central Disposal Site (Sonoma) - Phases I, II, &amp; III</t>
  </si>
  <si>
    <t>Sonoma County, CA</t>
  </si>
  <si>
    <t>SCS Engineers; SCS Field Services</t>
  </si>
  <si>
    <t>Generates electricity mainly to transport potable water throughout the county; most remaining of gas is flared. LFG-to-CNG to fuel county buses; pilot scale project.</t>
  </si>
  <si>
    <t>5MW from 9 CAT 3516 IC Engines.</t>
  </si>
  <si>
    <t>http://www.oclandfills.com/landfill/active/bowerman  https://swana.org/Portals/0/Awards/2013/Landfill_Management_Bronze.pdf   http://www.latimes.com/tn-dpt-me-0124-landfill-20150126-story.html</t>
  </si>
  <si>
    <t>Frank R. Bowerman Landfill</t>
  </si>
  <si>
    <t>OC Waste &amp; Recycling</t>
  </si>
  <si>
    <t>Orange</t>
  </si>
  <si>
    <t>Prometheus Energy Company; Montauk Energy Capital</t>
  </si>
  <si>
    <t>LFG to LNG project, with LNG being used as a diesel substitute in Orange County Transit Authority buses; shut down on 12/31/2010, with new power generation project in place</t>
  </si>
  <si>
    <t>http://www.lacsd.org/solidwaste/swfacilities/landfills/puente_hills/</t>
  </si>
  <si>
    <t>Puente Hills Landfill</t>
  </si>
  <si>
    <t>Sanitation Districts of Los Angeles County</t>
  </si>
  <si>
    <t>Los Angeles</t>
  </si>
  <si>
    <t>Used compressed landfill gas (CLG) produced by Clean Fuels to run a fleet of 13 vehicles, ranging from passenger vans to large on-road tractors</t>
  </si>
  <si>
    <t>https://www.wmsolutions.com/pdf/factsheet/Simi_Valley_Landfill.pdf</t>
  </si>
  <si>
    <t>Simi Valley Landfill</t>
  </si>
  <si>
    <t>Ventura</t>
  </si>
  <si>
    <t>High Mountain Fuels, LLC; Waste Management, Inc.; The Linde Group</t>
  </si>
  <si>
    <t>Create LNG by one-step pressure swing absorption (PSA) for about 500 local refuse trucks</t>
  </si>
  <si>
    <t>http://www.scsengineers.com/scs-press-release/scs-engineers-wins-city-of-san-diego-contracts-for-landfill-gas-system-operation-monitoring-and-maintenance-and-methaneghg-emissions/</t>
  </si>
  <si>
    <t>South Chollas Landfill</t>
  </si>
  <si>
    <t>City of San Diego</t>
  </si>
  <si>
    <t>San Diego</t>
  </si>
  <si>
    <t>Cambrian Energy</t>
  </si>
  <si>
    <t>https://www.wmsolutions.com/locations/details/id/222</t>
  </si>
  <si>
    <t>South Hills (Arnoni) Landfill</t>
  </si>
  <si>
    <t>A.R.C Technologies Corporation</t>
  </si>
  <si>
    <t>Creates high BTU RNG injected into the pipeline infrastructure. PSA separation of gases by A.R.C., output of 991 MMBtu/day</t>
  </si>
  <si>
    <t>Equitrans interstate pipeline</t>
  </si>
  <si>
    <t>http://www.evensol.com/   http://www.lriservices.com/</t>
  </si>
  <si>
    <t>Land Recovery, Inc. (LRI) Landfill</t>
  </si>
  <si>
    <t xml:space="preserve">Pierce </t>
  </si>
  <si>
    <t>February 2014</t>
  </si>
  <si>
    <t>BioFuels Energy, LLC</t>
  </si>
  <si>
    <t>Generate electricity for the grid and create CNG for on-site vehicle fueling</t>
  </si>
  <si>
    <t>4.3MW</t>
  </si>
  <si>
    <t>Live Oak Landfill</t>
  </si>
  <si>
    <t>DeKalb</t>
  </si>
  <si>
    <t>Jacoby Energy Development, Inc.; Atlanta Gas Light Company; Air Liquide; Energy Systems Group</t>
  </si>
  <si>
    <t xml:space="preserve">Creates high BTU RNG injected into the pipeline infrastructure. Also fuels 14 CNG sanitation trucks. Air Liquide process for upgrade to 2,300 scfm of high Btu gas; uses combination of pressure swing adsorption and membrane technology. "generating up to 1,500 MWh of renewable natural gas daily to be transported via pipeline"
</t>
  </si>
  <si>
    <t>http://www.buzzfile.com/business/Montauk-Energy-Capital-412-823-6296   https://www.wmsolutions.com/locations/details/id/224  http://montaukenergy.com/?portfolio=valley-landfill-irwin-pennsylvania</t>
  </si>
  <si>
    <t>Valley Landfill</t>
  </si>
  <si>
    <t>Westmoreland</t>
  </si>
  <si>
    <t>Creates high BTU RNG injected into the pipeline infrastructure</t>
  </si>
  <si>
    <t>http://www.wikinvest.com/stock/Tengasco_(TGC)/Methane_Project   http://www.timesnews.net/News/2008/09/25/Carters-Valley-landfill-in-line-for-16-million-in-upgrades   http://archive.knoxnews.com/business/tengasco-signs-5-year-gas-contract-with-houston-company-ep-409627085-359229161.html/  http://site.republicservices.com/corporate/planet/renewableenergy/landfill-gas-energy.aspx</t>
  </si>
  <si>
    <t>Carter Valley Landfill</t>
  </si>
  <si>
    <t>Republic Services, Inc.</t>
  </si>
  <si>
    <t>Hawkins</t>
  </si>
  <si>
    <t>Tengasco</t>
  </si>
  <si>
    <t>Creates high BTU RNG injected into the pipeline infrastructure. 2.5-mile pipeline to existing NG pipeline; uses membrane technology.</t>
  </si>
  <si>
    <t>Eastman Chemical Company</t>
  </si>
  <si>
    <t>https://www.esiwaste.com/about-us/locations/landfills/  https://www.epa.gov/sites/production/files/2017-07/underconsplannedlmopdata.xlsx  http://www.dailyindependent.com/news/clean-energy-project-set-for-big-run-landfill/article_429588e2-29ca-11e5-8076-e7af04fb1cee.html https://www.dailyindependent.com/news/big-run-landfill-to-provide-company-with-energy-source/article_1e4a781c-1d9c-11e8-aabe-1bf8f8127988.html</t>
  </si>
  <si>
    <t>Big Run</t>
  </si>
  <si>
    <t xml:space="preserve">Big Run Power Producers LLC (Ultra Capital) </t>
  </si>
  <si>
    <t>KY</t>
  </si>
  <si>
    <t>Facility construction began April 2018</t>
  </si>
  <si>
    <t>Big Run Power Producers</t>
  </si>
  <si>
    <t>https://www.wmsolutions.com/locations/details/id/145   http://www.courier-journal.com/story/tech/science/environment/2017/02/09/louisville-landfill-capture-sell-its-methane/97656292/</t>
  </si>
  <si>
    <t>Outer Loop</t>
  </si>
  <si>
    <t>Sarpy County Landfill, BioResource Development N1</t>
  </si>
  <si>
    <t>BioResource Development LLC</t>
  </si>
  <si>
    <t>Sarpy</t>
  </si>
  <si>
    <t xml:space="preserve">Under construction </t>
  </si>
  <si>
    <t xml:space="preserve">KEY: </t>
  </si>
  <si>
    <t>WWT Facility</t>
  </si>
  <si>
    <t xml:space="preserve">Maximum Capacity of Waste </t>
  </si>
  <si>
    <t xml:space="preserve">Average Amount of Waste </t>
  </si>
  <si>
    <t>SCFD to project</t>
  </si>
  <si>
    <t>SCFD Upgraded Biogas</t>
  </si>
  <si>
    <t xml:space="preserve"> Upgraded GGE/yr</t>
  </si>
  <si>
    <t>End Users</t>
  </si>
  <si>
    <t>http://www.cityofsanmateo.org/DocumentCenter/Home/View/85  
http://www.smdailyjournal.com/articles/lnews/2015-12-11/san-mateo-to-convert-its-waste-into-fuel-city-first-to-turn-biogas-into-compressed-natural-gas-at-wastewater-plant/1776425155030.html</t>
  </si>
  <si>
    <t>City of San Mateo Wastewater Treatment Plant</t>
  </si>
  <si>
    <t>San Mateo</t>
  </si>
  <si>
    <t>System designed by engineering consulting firm Kennedy-Jenks. Cleaning equipment produced by UNISON,  compression and delivery system by ANGI.</t>
  </si>
  <si>
    <t xml:space="preserve">BioCNG purification equipment along with a dryer, twin 50-horsepower Quincy compressors and dispensors supplied by ANGI will be installed. The CNG will be used to operate 50 light duty city vehicles.As of June 2017, 50 vehicles is a target; currently fueling two pickups, with 17 medium duty CNG trucks on order.   </t>
  </si>
  <si>
    <t>15.7 million gallons/day</t>
  </si>
  <si>
    <t>City of San Mateo</t>
  </si>
  <si>
    <t xml:space="preserve">http://www.lgvsd.org/facilities/wastewater-treatment/    http://www.waterboards.ca.gov/sanfranciscobay/board_info/agendas/2015/May/Las_Gallinas_TO.pdf     http://www.cornerstoneeg.com/project-experience/las-gallinas-biogas-energy-recovery-system/   http://www.lgvsd.org/wp-content/uploads/agenda04242014handout4.pdf
</t>
  </si>
  <si>
    <t>Las Gallinas Valley Sanitary District</t>
  </si>
  <si>
    <t>Marin</t>
  </si>
  <si>
    <t>Pre-commercial BERS installed to capture methane from the plant which is then used for on-site combined heat and power. A BioCNG gas conditioning system is used as well to provide CNG to a fueling station at the plant providing fuel for one LGVSD CNG truck.</t>
  </si>
  <si>
    <t>8 million gal/day</t>
  </si>
  <si>
    <t>2.67 million gal/day</t>
  </si>
  <si>
    <t>Providing fuel for LGVSD CNG trucks</t>
  </si>
  <si>
    <t xml:space="preserve">Plans to register </t>
  </si>
  <si>
    <t>https://www.socalgas.com/smart-energy/success-stories/point-loma
http://www.biofuelsenergyllc.com/projects.html</t>
  </si>
  <si>
    <t>Point Loma Wastewater Treatment Plant</t>
  </si>
  <si>
    <t>Fuel Cell Energy, Inc.; BioFuels Energy, LLC</t>
  </si>
  <si>
    <t xml:space="preserve">Untreated biogas powers generators at plant, and some upgraded gas  goes to fuel cell at plant. Upgraded gas also goes into pipeline to feed electricity generating fuel cells at  at UCSD and South Bay Water Treament at South Bay Water Reclamation plant. </t>
  </si>
  <si>
    <t>240 million gal/day</t>
  </si>
  <si>
    <t>175 million gal/day</t>
  </si>
  <si>
    <t xml:space="preserve">Plant, UCSD, South Bay Water Reclamation Plant. </t>
  </si>
  <si>
    <t>5.8 MW Based on SoCal Gas case study, more like 4.2MW</t>
  </si>
  <si>
    <t>http://www.gjcity.org/residents/persigo-wastewater-treatment-plant/   http://energy-vision.org/wp-content/uploads/2013/09/Grand-Junction_Persigo_BioCNG-Profile.pdf</t>
  </si>
  <si>
    <t>Persigo Wastewater Treatment Plant</t>
  </si>
  <si>
    <t>Mesa</t>
  </si>
  <si>
    <t xml:space="preserve">Biogas is carried via an 5.7 mile underground pipeline to the City’s Municipal Services Campus where it will be compressed to CNG and used to fuel the City’s fleet of CNG vehicles and County CNG Grand Valley Transit busses.  This station has one public fast-fill pump, and about 20 slow fill for the fleet vehicles. CNG vehicles consist of passenger cars, pickup trucks, dump trucks, trash trucks, public transportation busses and Street sweepers.
The City of Grand Junction has 42 CNG municipal fleet vehicles. Public transportation has 20 CNG vehicles. Totaling around 82 CNG vehicles
</t>
  </si>
  <si>
    <t>12.5 million gal/day</t>
  </si>
  <si>
    <t>8.5 MGD</t>
  </si>
  <si>
    <t>City of Grand Junction</t>
  </si>
  <si>
    <t>http://www.newarkohio.net/city-services/water-wastewater-main/waste-water-plant  http://www.newarkohio.net/Stimulus/EECBG/OH-CITY-Newark-Project%20Activity%20page%201.pdf  https://www.energy.gov/sites/prod/files/2014/11/f19/eleazer_biomass_2014.pdf</t>
  </si>
  <si>
    <t>Newark Wastewater Treatment Plant</t>
  </si>
  <si>
    <t>Licking</t>
  </si>
  <si>
    <t xml:space="preserve">Guild Associates, Inc. Continue to provide maintenance for system, are not tracking production </t>
  </si>
  <si>
    <t>20 million gal/day</t>
  </si>
  <si>
    <t>~25% of gas is sold to The Energy Cooperative, a local utility, who may sell some on into the market, via Producers Gas Sales.</t>
  </si>
  <si>
    <t>n/a</t>
  </si>
  <si>
    <t>http://www.saws.org/Your_Water/Recycling/Biogas/   http://www.saws.org/latest_news/water_news/docs/WaterNews201011.pdf</t>
  </si>
  <si>
    <t>Dos Rios Water Recycling Center</t>
  </si>
  <si>
    <t>Bexar</t>
  </si>
  <si>
    <t>San Antonio Water System; Ameresco, Inc.; Guild Associates, Inc.</t>
  </si>
  <si>
    <t xml:space="preserve">Biomethane produced from WWTP digester gas from SAWS is used in CNG and LNG vehicles. These vehicles include CNG bus fleets, LNG truck fleets and commercial distribution to privately owned CNG vehicles. Gas is upgraded using pressure swing adsorption (Guild molecular gate) </t>
  </si>
  <si>
    <t>125MGD</t>
  </si>
  <si>
    <t>http://bigoxenergy.com/south-sioux-city-ne-and-big-ox-energy/   http://siouxcityjournal.com/news/local/million-south-sioux-city-project-planned/article_f7812db1-cf15-5670-b8fc-17b0854c9353.html  http://siouxcityjournal.com/business/investment/big-ox-energy-breaks-ground-in-south-sioux-city/article_562ed0c6-1dc8-56d9-bdda-9581a86ef2af.html  http://www.csrwire.com/press_releases/40585-UPS-Dramatically-Increases-Use-of-Renewable-Natural-Gas</t>
  </si>
  <si>
    <t>South Sioux City Digester</t>
  </si>
  <si>
    <t>607681 (capacity)</t>
  </si>
  <si>
    <t>http://www.kingcounty.gov/depts/dnrp/wtd/system/south.aspx</t>
  </si>
  <si>
    <t>1987, upgraded and enlarged 1995</t>
  </si>
  <si>
    <t>King County Department of Natural Resources and Parks, WA</t>
  </si>
  <si>
    <t>Uses scrubbing technology to upgrade biogas injecting the RNG into a natural gas pipeline; has been doing so for over twenty-five years; 50% to NG pipeline (no contracts with electric utilities) and 50% used onsite for electricity and heat production. Upgrading system is a “Binax” high-pressure water-solvent biogas treatment system (similar to the “Greenlane” system)</t>
  </si>
  <si>
    <t>115 million gal/day</t>
  </si>
  <si>
    <t>70 million</t>
  </si>
  <si>
    <t>4 MW</t>
  </si>
  <si>
    <t>http://www.ci.janesville.wi.us/government/departments-divisions/public-works/wastewater-utility/wastewater-utility-faciliites-and-treatment-plant</t>
  </si>
  <si>
    <t>Janesville Wastewater Treatment Plant</t>
  </si>
  <si>
    <t>Rock</t>
  </si>
  <si>
    <t>25 million gal/day</t>
  </si>
  <si>
    <t>13 million gal/day</t>
  </si>
  <si>
    <t>City of Janesville</t>
  </si>
  <si>
    <t xml:space="preserve">1937MWh/yr. </t>
  </si>
  <si>
    <t>http://www.reclaimedwater.net/data/files/149.pdf 
http://www.ameresco.com/ameresco-city-phoenix-announce-91-st-ave-wastewater-treatment-plant-biogas-project/
https://www.ngvglobal.com/blog/phoenix-wastewater-to-rng-fuel-facility-biggest-in-u-s-0817</t>
  </si>
  <si>
    <t>91st Avenue, Phoenix</t>
  </si>
  <si>
    <t>Project uses Guild pressure swing adsorption (PSA) upgrading system</t>
  </si>
  <si>
    <t>230 MGD</t>
  </si>
  <si>
    <t xml:space="preserve">http://cityofpetaluma.net/wrcd/wastewater.html http://dpw.lacounty.gov/epd/nas/epd/epd_dms/C_T___%60JAJONES%60Programs%60PUB_Y%60FREQ_N%603_22_2016%60%60REC_N%600000_00%600000_00%60CT_GEN%60California%20Energy%20Commission%20Invests%20$3%20Million%20in%20Biogas%20Project%6097.pdf   http://www.water-technology.net/projects/ellis-creek/
</t>
  </si>
  <si>
    <t>Ellis Creek Water Recycling Facility</t>
  </si>
  <si>
    <t xml:space="preserve">4,800,000 gallons/day </t>
  </si>
  <si>
    <t>City of Petaluma</t>
  </si>
  <si>
    <t>http://bioresourcedevelopment.com/  http://www.greaterdubuque.org/gddc/who-we-are/news/?item=7853  http://www.greaterdubuque.org/media/userfiles/subsite_88/files/2016_09_September_Newsletter_FNL(1).pdf  http://ecoengineers.us/wp-content/uploads/2014/09/Kim-Murdock-Timmerman.pdf  http://www.unisonsolutions.com/projects/digester-projects/</t>
  </si>
  <si>
    <t>Dubuque Water and Resource Recovery Center</t>
  </si>
  <si>
    <t>Dubuque</t>
  </si>
  <si>
    <t>City of Dubuque, Black Hills Energy, Unison Solution, BioResources Development</t>
  </si>
  <si>
    <t xml:space="preserve">Bioresource Development installed upgrading skid. They upgrade the gas, inject it into Black Hills Energy pipeline, and return as much upgraded gas to facility as was taken out. Anything surplus is sold into a RIN market. </t>
  </si>
  <si>
    <t>14MGD</t>
  </si>
  <si>
    <t>7MGD</t>
  </si>
  <si>
    <t>Injected into Black Hills Energy pipeline</t>
  </si>
  <si>
    <t>600kW</t>
  </si>
  <si>
    <t>https://www.cityoftacoma.org/government/city_departments/environmentalservices/wastewater/wastewater_system/ctp
https://www.thenewstribune.com/news/local/article190093809.html</t>
  </si>
  <si>
    <t>Tacoma Central Wastewater Treatment Plant (Tideflats)</t>
  </si>
  <si>
    <t>Construction Q4 2018</t>
  </si>
  <si>
    <t xml:space="preserve">https://globenewswire.com/news-release/2017/04/19/962355/0/en/NW-Natural-to-Put-Renewable-Natural-Gas-on-its-Pipeline-through-Partnership-with-City-of-Portland.html  https://www.portlandoregon.gov/bes/article/636244 </t>
  </si>
  <si>
    <t>Columbia Boulevard Wastewater Treatment Plant</t>
  </si>
  <si>
    <t>Multnomah</t>
  </si>
  <si>
    <t>City of Portland Environmental Services</t>
  </si>
  <si>
    <t>65.5 million gal/day</t>
  </si>
  <si>
    <t>1.7 MW/hr</t>
  </si>
  <si>
    <t>Honolulu</t>
  </si>
  <si>
    <t>HI</t>
  </si>
  <si>
    <t>Hawaii Gas</t>
  </si>
  <si>
    <t>Newtown Creek Wastewater Treatment Plant</t>
  </si>
  <si>
    <t>Kings County</t>
  </si>
  <si>
    <t>Will create RNG from wastewater sludge and pre-processed food waste to be injected into National Grid local pipeline infrastructure. Will use a gas dryer, PSA and thermal oxidizer for upgrading. Plant is also implementing organics co-digestion with sewage sludge which may provide 30% or more increase in gas production that will be treated with above mentioned gas cleaning system.  Estimated to produce 169,000 MMBTU per year and reduce 39,000 metric tons of CO2 from organics diversion from landfill.</t>
  </si>
  <si>
    <t>310MGD dry, 700MGD wet</t>
  </si>
  <si>
    <t>221 MGD</t>
  </si>
  <si>
    <t>90,000 tons/yr; emissions from removing 19,000 cars per year</t>
  </si>
  <si>
    <t xml:space="preserve">https://www.ieua.org/facilities/carbon-canyon-water-recycling-facility/wastewater-treatment-process/   http://www.calrecycle.ca.gov/organics/conversion/events/digesting12/casestudies.pdf   https://www.ieua.org/facilities/rp-5/#lightbox/0/ </t>
  </si>
  <si>
    <t>Inland Empire Utilities Agency AD Project</t>
  </si>
  <si>
    <t>San Bernardino</t>
  </si>
  <si>
    <t>Chino</t>
  </si>
  <si>
    <t>No plans for RNG</t>
  </si>
  <si>
    <t>Inland Empire Utilities Agency; Environ Strategy Consultants, Inc.</t>
  </si>
  <si>
    <t>Currently produces electricity for on-site use by mixing dairy and food waste with wastewater; approximately 200 TPD of these codigestants being added. ELECTRIC ONLY</t>
  </si>
  <si>
    <t>16.3 MGD</t>
  </si>
  <si>
    <t>9 MGD</t>
  </si>
  <si>
    <t>1.5MW</t>
  </si>
  <si>
    <t xml:space="preserve">https://www.ocsd.com/Home/ShowDocument?id=18208 https://www.ocsd.com/Home/ShowDocument?id=19428 https://www.ocsd.com/Home/ShowDocument?id=19430
</t>
  </si>
  <si>
    <t>Orange Country Sanitation District WWTP Plants 1&amp;2</t>
  </si>
  <si>
    <t>185,000,000 gals/day</t>
  </si>
  <si>
    <t>90,000,000 kWh/year</t>
  </si>
  <si>
    <t xml:space="preserve">http://www.energy.ca.gov/2017publications/CEC-500-2017-004/CEC-500-2017-004.pdf; adding food waste and FOG at WWTP, but apparently electric only. </t>
  </si>
  <si>
    <t>Sacramento Municipal Utility District/Argonne National Laboratory Biomethane Anaerobic Digester Project</t>
  </si>
  <si>
    <t>Sacramento Municipal Utility District; CleanWorld; Argonne National Laboratory</t>
  </si>
  <si>
    <t>Pilot project demonstrating a process to increase production of biogas through anaerobic digestion while reducing the amount of CO2 produced; produced six months’ worth of LNG or CNG for use as transportation fuel</t>
  </si>
  <si>
    <t>https://www.epa.gov/sites/production/files/2014-09/documents/usafa_npdes_permitstatementofbasissep2014.pdf</t>
  </si>
  <si>
    <t>United States Air Force Academy (USAFA) Wastewater Treatment Plant</t>
  </si>
  <si>
    <t>El Paso</t>
  </si>
  <si>
    <t>Department of Defense (DoD) Environmental Security Technology Certificaiton Program (ESTCP); CDM Smith, Inc.</t>
  </si>
  <si>
    <t>Demonstration project to determine the viability of using AD to manage food waste, with a goal of producing biogas and converting it to   Never got beyond discussion.</t>
  </si>
  <si>
    <t>http://www.dunedingov.com/index.aspx?page=116</t>
  </si>
  <si>
    <t>Dunedin Wastewater Treatment Plant</t>
  </si>
  <si>
    <t>Pinellas</t>
  </si>
  <si>
    <t>FL</t>
  </si>
  <si>
    <t>MagneGas</t>
  </si>
  <si>
    <t>Plasma Arc Flow system used to gasify liquid wastes to create a hydrogen-based natural gas alternative that could fuel vehicles</t>
  </si>
  <si>
    <t>6 million gal/day</t>
  </si>
  <si>
    <t>http://www.abc12.com/home/headlines/Biogas-is-producing-electricity-at-Flint-waste-water-plant-338569892.html</t>
  </si>
  <si>
    <t>Flint Wastewater Treatment Plant</t>
  </si>
  <si>
    <t>Kettering University; Swedish Biogas International, LLC</t>
  </si>
  <si>
    <t>Biogas currently used to power a boiler to heat AD; some injection into pipeline; second phase of project will provide electricity for facility and create vehicle fuel for facility trucks and university buses</t>
  </si>
  <si>
    <t>75 million gal/day</t>
  </si>
  <si>
    <t>50 million gal/day</t>
  </si>
  <si>
    <t>1.6  MW/hr</t>
  </si>
  <si>
    <t>http://www.ohiowea.org/docs/BarhorstGupta-DaytonGasScrubber.pdf</t>
  </si>
  <si>
    <t>Dayton Wastewater Treatment Plant</t>
  </si>
  <si>
    <t>Guild Associates, Inc.</t>
  </si>
  <si>
    <t>Methane gas, produced as a by-product of anaerobic digestion, is used as a fuel for cogeneration engines and pipeline injection. Guild pressure swing adsorption upgrading system.</t>
  </si>
  <si>
    <t>72 million gal/day</t>
  </si>
  <si>
    <t>55 to 60 million gal/day</t>
  </si>
  <si>
    <t>https://www.bioohio.com/item/quasar-energy-group-llc-lime-lakes-energy/  http://quasareg.com/New/wp-content/uploads/2016/10/Lime-Lakes-2016.pdf</t>
  </si>
  <si>
    <t>Lime Lakes Energy</t>
  </si>
  <si>
    <t>Summit</t>
  </si>
  <si>
    <t>Lime Lakes Energy, LLC; quasar energy group; PPG Industries, Inc.</t>
  </si>
  <si>
    <t>Codigests food waste, FOG and sewage sludge to produce electricity. It is anticipated that the lime lakes reclamation activities to be completed in half of the original schedule, by the end of 2016.</t>
  </si>
  <si>
    <t>17,500 tons/yr</t>
  </si>
  <si>
    <t>810kW</t>
  </si>
  <si>
    <t>Longmont Wastewater Treatment Plant</t>
  </si>
  <si>
    <t>Boulder</t>
  </si>
  <si>
    <t>In 2018, the City of Longmont will begin construction of a project at its Waste Water Treatment Plant (WWTP) to make fuel from gas produced in the treatment of Longmont's sewage. The project will convert dirty biogas (generated through anaerobic digestion) into clean Renewable Natural Gas (RNG). The RNG produced will then be used to power the City’s trash trucks. Upon completion of the RNG fueling station in 2019, 11 of the City’s 16 diesel trash trucks will be replaced with trucks capable of using RNG fuel (this change-out aligns with the existing replacement schedule for those trucks). The remaining five diesel trucks will be replaced in 2021. </t>
  </si>
  <si>
    <t>City of Longmont</t>
  </si>
  <si>
    <t>Total confirmed WWT projects</t>
  </si>
  <si>
    <t>Construction</t>
  </si>
  <si>
    <t>Shut Down and Cancelled</t>
  </si>
  <si>
    <t>Total</t>
  </si>
  <si>
    <t>Landfills</t>
  </si>
  <si>
    <t>Farms</t>
  </si>
  <si>
    <t>Food Waste</t>
  </si>
  <si>
    <t>Wastewater Treatment</t>
  </si>
  <si>
    <t># Operational projects</t>
  </si>
  <si>
    <t>Operational MMBTU/yr</t>
  </si>
  <si>
    <t>Operational GGE/yr</t>
  </si>
  <si>
    <t>Average Operational MMBTU/yr</t>
  </si>
  <si>
    <t>Average Operational GGE/yr</t>
  </si>
  <si>
    <t xml:space="preserve">Projects Under Construction </t>
  </si>
  <si>
    <t>Under Construction MMBTU/yr</t>
  </si>
  <si>
    <t>Under Construction GGE/yr</t>
  </si>
  <si>
    <t>Fuel Type Produced:</t>
  </si>
  <si>
    <t>Gas is being injected into pipeline for vehicle and/or other uses</t>
  </si>
  <si>
    <t>Gas is being used locally to fuel vehicles, or being injected into pipeline for use as vehicle fuel at another location</t>
  </si>
  <si>
    <t>Both the above apply</t>
  </si>
  <si>
    <t xml:space="preserve">It is not known what the gas is being used for </t>
  </si>
  <si>
    <t>The gas is not being used for vehicles or pipeline injection</t>
  </si>
  <si>
    <t>Project Status:</t>
  </si>
  <si>
    <t>TBD</t>
  </si>
  <si>
    <t>Unknown at this time, to be determined</t>
  </si>
  <si>
    <t xml:space="preserve">Confirmed (status): </t>
  </si>
  <si>
    <t xml:space="preserve">Unconfirmed (status): </t>
  </si>
  <si>
    <t xml:space="preserve">No source associated with the project has verified the status; the status of the project is not otherwise known.  </t>
  </si>
  <si>
    <t>Onsite fueling</t>
  </si>
  <si>
    <t>There will be fueling available at the facility</t>
  </si>
  <si>
    <t>There will not be fueling available at the facility</t>
  </si>
  <si>
    <t>Abbreviations/vocabulary</t>
  </si>
  <si>
    <t xml:space="preserve">BTU  </t>
  </si>
  <si>
    <t>British Thermal Unit</t>
  </si>
  <si>
    <t>CNG</t>
  </si>
  <si>
    <t>compressed natural gas</t>
  </si>
  <si>
    <t>DGE</t>
  </si>
  <si>
    <t>diesel gallon equivalent</t>
  </si>
  <si>
    <t xml:space="preserve">GGE </t>
  </si>
  <si>
    <t>gasoline gallon equivalent</t>
  </si>
  <si>
    <t>Kg</t>
  </si>
  <si>
    <t>kilogram</t>
  </si>
  <si>
    <t>LFG</t>
  </si>
  <si>
    <t>landfill gas</t>
  </si>
  <si>
    <t>LMOP</t>
  </si>
  <si>
    <t>Landfill Methane Outreach Program (US EPA database)</t>
  </si>
  <si>
    <t>LNG</t>
  </si>
  <si>
    <t>liquefied natural gas</t>
  </si>
  <si>
    <t xml:space="preserve">MMBTU </t>
  </si>
  <si>
    <t>million British Thermal Units</t>
  </si>
  <si>
    <t xml:space="preserve">MMT </t>
  </si>
  <si>
    <t>million metric ton(ne)s</t>
  </si>
  <si>
    <t xml:space="preserve">MT </t>
  </si>
  <si>
    <t>metric ton(ne)</t>
  </si>
  <si>
    <t>PSA</t>
  </si>
  <si>
    <t>pressure swing adsorption (a gas upgrading technology)</t>
  </si>
  <si>
    <t>RFS</t>
  </si>
  <si>
    <t>US EPA Renewable Fuel Standard</t>
  </si>
  <si>
    <t>RIN</t>
  </si>
  <si>
    <t>RNG</t>
  </si>
  <si>
    <t>renewable natural gas</t>
  </si>
  <si>
    <t xml:space="preserve">SCF </t>
  </si>
  <si>
    <t>standard cubic foot</t>
  </si>
  <si>
    <t xml:space="preserve">SCFD  </t>
  </si>
  <si>
    <t>standard cubic feet per day</t>
  </si>
  <si>
    <t xml:space="preserve">SCFM </t>
  </si>
  <si>
    <t>standard cubic feet per minute</t>
  </si>
  <si>
    <t>Selexol</t>
  </si>
  <si>
    <t>a chemical gas upgrading process</t>
  </si>
  <si>
    <t>TPD</t>
  </si>
  <si>
    <t>tons per day</t>
  </si>
  <si>
    <t xml:space="preserve">TPY </t>
  </si>
  <si>
    <t>tons per year</t>
  </si>
  <si>
    <t>TSA</t>
  </si>
  <si>
    <t xml:space="preserve">temperature swing adsorption (a gas upgrading technology) </t>
  </si>
  <si>
    <t xml:space="preserve">US DOE </t>
  </si>
  <si>
    <t xml:space="preserve">US Department of Energy </t>
  </si>
  <si>
    <t xml:space="preserve">US DOE AFDC </t>
  </si>
  <si>
    <t>US DOE Alternative Fuels Data Center</t>
  </si>
  <si>
    <t xml:space="preserve">US EIA </t>
  </si>
  <si>
    <t xml:space="preserve">US Energy Information Administration </t>
  </si>
  <si>
    <t xml:space="preserve">US EPA </t>
  </si>
  <si>
    <t>US Environmental Protection Agency</t>
  </si>
  <si>
    <t>CONVERSION FACTORS</t>
  </si>
  <si>
    <t>BTU and GGE</t>
  </si>
  <si>
    <t>115,400 BTU/GGE (No ethanol content, Oak Ridge National Lab "Transportation Data Book 2017")</t>
  </si>
  <si>
    <t>BTU and DGE</t>
  </si>
  <si>
    <t>131,800 BTU per DGE (Distillate fuel oil,  Oak Ridge National Lab "Transportation Data Book 2017")</t>
  </si>
  <si>
    <t>BTU and SCF</t>
  </si>
  <si>
    <t>Approx 1000 BTUs per SCF of natural gas</t>
  </si>
  <si>
    <t>BTUs and therms</t>
  </si>
  <si>
    <t>1 MMBTU = 10 US therms; 1 therm = 100,000 BTU</t>
  </si>
  <si>
    <t>SCF and GGE</t>
  </si>
  <si>
    <t>~114 SCF upgraded gas/GGE</t>
  </si>
  <si>
    <t xml:space="preserve">SCF and DGE </t>
  </si>
  <si>
    <t>~ 137 SCF upgraded gas/DGE</t>
  </si>
  <si>
    <t>1 US ton</t>
  </si>
  <si>
    <t>2000 pounds, 907.185 kilograms, .907185 metric tonne</t>
  </si>
  <si>
    <t>1 metric tonne</t>
  </si>
  <si>
    <t>1000 kg, 2204.62 ponds, 1.10231 US ton</t>
  </si>
  <si>
    <t>FORMULAS</t>
  </si>
  <si>
    <t>Convert SCFM to SCFD</t>
  </si>
  <si>
    <t>SCFM*60*24 = SCFD</t>
  </si>
  <si>
    <t>Convert SCFD to SCFM</t>
  </si>
  <si>
    <t xml:space="preserve">SCFD/(60*24) = SCFM </t>
  </si>
  <si>
    <t>Convert DGE to GGE</t>
  </si>
  <si>
    <t>GGE = DGE *1.14 or DGE/.88</t>
  </si>
  <si>
    <t>Convert GGE to DGE</t>
  </si>
  <si>
    <t>DGE = GGE/1.14 of GGE *.88</t>
  </si>
  <si>
    <t>Convert GGE to MMBTU</t>
  </si>
  <si>
    <t>MMBTU =  GGE*.112194</t>
  </si>
  <si>
    <t>Convert MMBTU to GGE</t>
  </si>
  <si>
    <t>GGE = MMBTU/.112194</t>
  </si>
  <si>
    <t>Convert SCFD to MMBTU/yr</t>
  </si>
  <si>
    <t>Convert MMBTU to SCFD</t>
  </si>
  <si>
    <t>Convert SCFD raw dairy biogas to SCFD upgraded gas</t>
  </si>
  <si>
    <t>SCFD raw biogas * .6 = SCFD upgraded gas</t>
  </si>
  <si>
    <t>CO2e emissions 1 gallon gasoline</t>
  </si>
  <si>
    <t>19.6 pounds (US EIA)</t>
  </si>
  <si>
    <t>CO2e emissions 1 gallon E10 gasoline</t>
  </si>
  <si>
    <t>17.6 pounds (US EIA)</t>
  </si>
  <si>
    <t>CO2e emissions 1 gallon diesel</t>
  </si>
  <si>
    <t>22.4 pounds (US EIA)</t>
  </si>
  <si>
    <t>Online government databases</t>
  </si>
  <si>
    <t>US DOE, Fuel conversion factors to GGEs</t>
  </si>
  <si>
    <t>US EPA Agstar</t>
  </si>
  <si>
    <t>https://www.epa.gov/agstar</t>
  </si>
  <si>
    <t>US EPA Agstar data and trends</t>
  </si>
  <si>
    <t>https://www.epa.gov/agstar/agstar-data-and-trends</t>
  </si>
  <si>
    <t>US EPA Part 80 fuels program lists (RFS producers)</t>
  </si>
  <si>
    <t>https://cdxnodengn.epa.gov/cdx-otaq-reg-II/action/reportExternal/Part80FuelsProgramslist</t>
  </si>
  <si>
    <t>2017 Totals</t>
  </si>
  <si>
    <t>PROJECT TYPE</t>
  </si>
  <si>
    <t>NAME</t>
  </si>
  <si>
    <t>STATE</t>
  </si>
  <si>
    <t>Landfill</t>
  </si>
  <si>
    <t>Farm &amp; Ag</t>
  </si>
  <si>
    <t xml:space="preserve">Huckabay Ridge (Verliant Energy) </t>
  </si>
  <si>
    <t xml:space="preserve">Lower Colorado River Authority (through Sept 2008); Pacific Gas and Electric (Beginning Oct 2008); Alcor Energy is using the thermal energy. </t>
  </si>
  <si>
    <t>Under Construction</t>
  </si>
  <si>
    <t>Boyd</t>
  </si>
  <si>
    <t>0-5,760,000</t>
  </si>
  <si>
    <t xml:space="preserve">L'Oreal; 1-2 others </t>
  </si>
  <si>
    <t xml:space="preserve">Roeslein Locust Ridge </t>
  </si>
  <si>
    <t xml:space="preserve">Roeslein Valley View </t>
  </si>
  <si>
    <t xml:space="preserve">Roeslein Ruckman </t>
  </si>
  <si>
    <t>52800 (based on 2017)</t>
  </si>
  <si>
    <t>79200 (based on 2017)</t>
  </si>
  <si>
    <t>Rialto Bioenergy Facility, LLC</t>
  </si>
  <si>
    <t>Wet Continuously Mixed Anaerobic Digester</t>
  </si>
  <si>
    <t>300000 tons per year</t>
  </si>
  <si>
    <t xml:space="preserve">Food Waste and Biosolids </t>
  </si>
  <si>
    <t>4.9 MMSCFD</t>
  </si>
  <si>
    <t>up to 2.88 MMSCFD injected. Average of 2.02 MMSCFD with onsite power generation</t>
  </si>
  <si>
    <t>1,040,700 MMBTU/year or 730,000 MMBTU/year with onsite power generation</t>
  </si>
  <si>
    <t>9.05 Million GGE/year</t>
  </si>
  <si>
    <t xml:space="preserve">Southern California Edison, Anaheim Public Utility, Southwest Gas </t>
  </si>
  <si>
    <t>Project to begin production in 2020. 700 tpd of food waste and 300 tpd of biosolids.  Using Anaergia’s advanced anaerobic digestion technology to extract energy from the organic material, this facility will produce the equivalent of 13 megawatts of clean energy per year. The net carbon dioxide emissions reduction will be approximately 220,000 metric tons annually, which is the equivalent of taking 47,500 cars off the road.
Anaergia is building the RBF in collaboration with Waste Management, Republic Services, Southern California Edison, Anaheim Public Utility, Southwest Gas Utility, City of Rialto, the Sanitation Bureau of the City of Los Angeles, and the Sanitation Districts of Los Angeles County, and of Orange County. The RBF is co-funded by the California Energy Commission, U.S. Department of Energy, CalRecycle, State of California and significant private investment.
Pipeline Injection of RNG and onsite power generation for export</t>
  </si>
  <si>
    <t>http://biomassmagazine.com/articles/14679/hawaii-gas-earns-puc-approval-to-make-rng-from-honouliuli-biogas   
https://www.honolulu.gov/rep/site/env/wwm_docs/Honouliuli_WWTP_Handout_Combined_5_27_16.pdf
https://www.bizjournals.com/pacific/news/2018/04/23/hawaii-gas-to-start-construction-on-first.html
http://oeqc2.doh.hawaii.gov/EA_EIS_Library/2018-01-23-OA-DEA-Honouliuli-WWTP-Biogas-Project.pdf</t>
  </si>
  <si>
    <t>26.1 MGD (2013)</t>
  </si>
  <si>
    <t>Hawaii Gas, the state’s only regulated gas utility, received approval from the Hawai‘i Public Utilities Commission to install equipment to capture and process biogas from the Honouliuli Wastewater Treatment Plant. The Honouliuli Wastewater Treatment Plant produces about 800,000 therms of energy per year, which is currently not being utilized. Hawaii Gas will invest about $5 million in the infrastructure to process the raw biogas and to connect the Honouliuli Wastewater Treatment Plant to the company’s existing pipeline.
SCFD figure based on Draft Environemntal Assessment, which references 800k therms (80k MMBTU) of raw gas annually</t>
  </si>
  <si>
    <t>2014 epa report https://www.epa.gov/sites/production/files/2014-12/documents/huckabay_ridge_agstar_site_profile_508_022614.pdf  
https://www.manuremanager.com/dairy/huckabay-ridge-10271   
http://biomassmagazine.com/articles/9648/texas-ad-facility-to-be-sold-at-auction 
http://www.verliantenergy.com/projects.html 
http://www.hoovers.com/company-information/cs/company-profile.verliant_energy_inc.03b2251c5c9a75a8.html 
https://www.businesswire.com/news/home/20140228005808/en/UC-San-Francisco-Collaborates-Verliant-Advance-Waste</t>
  </si>
  <si>
    <t>NO, expected online end Q2 2019.</t>
  </si>
  <si>
    <t>Private</t>
  </si>
  <si>
    <t xml:space="preserve">Honouliuli Wastewater Treatment Plannt </t>
  </si>
  <si>
    <t>Q4 2016</t>
  </si>
  <si>
    <t xml:space="preserve">Hawaii Gas </t>
  </si>
  <si>
    <t xml:space="preserve">Dubuque Metro Landfill </t>
  </si>
  <si>
    <t>Q1 2020</t>
  </si>
  <si>
    <t xml:space="preserve">City of Dubuque, Trillium  </t>
  </si>
  <si>
    <t>Dubuque Metropolitan Area Solid Waste Agency</t>
  </si>
  <si>
    <t xml:space="preserve">3,604,098 (Jan. 2019) </t>
  </si>
  <si>
    <t xml:space="preserve">Landfill gas capture system is being upgraded in 2019 from flaring to upgrading, for injection into interstate pipeline. Project to begin construction in Q1 2019, RNG production should begin Q4 2019 or Q1 2020. LFG flow to project ~750cfm. </t>
  </si>
  <si>
    <t>??</t>
  </si>
  <si>
    <t>http://www.renewableenergyworld.com/articles/2007/09/atlantas-live-oak-landfill-to-become-source-of-renewable-energy-50025.html
http://thejacobygroup.com/energy.html
https://industry.airliquide.us/air-liquide-acquires-renewable-natural-gas-plant-jacoby-energy
https://www.energy.gov/sites/prod/files/2014/03/f10/june2012_biogas_workshop_anderson.pdf</t>
  </si>
  <si>
    <t>Texas Gas Transmission LLC; Waste Management</t>
  </si>
  <si>
    <t xml:space="preserve">OPERATIONAL </t>
  </si>
  <si>
    <t>Skyline Landfill</t>
  </si>
  <si>
    <t>Ellis</t>
  </si>
  <si>
    <t>Williamson County Landfill</t>
  </si>
  <si>
    <t>LANDFILL CLOSED</t>
  </si>
  <si>
    <t>https://www.epa.gov/sites/production/files/2017-07/underconsplannedlmopdata.xlsx  http://www.sierraclub.org/sites/www.sierraclub.org/files/sce-authors/u2978/Sierra%20Club%27s%20%20Omaha%20Metropolitan%20Area%20SWM%20Study%20%20March%2013%20%202017.pdf   https://www.sarpy.com/sites/default/files/doc/board-commission/county-board/resolutions/2016/26.PDF
https://www.blackhillsenergy.com/node/118403#.XEDhL1xKhPY
https://www.omaha.com/money/company-will-collect-gases-from-sarpy-landfill-to-turn-into/article_05ad4cf9-d8e2-542c-8336-841189cfbc6a.html</t>
  </si>
  <si>
    <t>Online February 2013</t>
  </si>
  <si>
    <t>Five "earthen digesters," one each farm</t>
  </si>
  <si>
    <t>RNG is used to produce ~11000 MWh</t>
  </si>
  <si>
    <t>http://www.sortbioenergy.com/
https://www.oregonmetro.gov/sites/default/files/2017/04/18/SORT_F-173-17_staffrpt.pdf</t>
  </si>
  <si>
    <t>https://news.duke-energy.com/releases/duke-energy-using-north-carolina-based-renewable-natural-gas-in-first-of-its-kind-project
https://energy-vision.org/case-studies/Optima_KV_RNG_Profile.pdf</t>
  </si>
  <si>
    <t>8,760 MWh/year</t>
  </si>
  <si>
    <t>60 million gallons/day</t>
  </si>
  <si>
    <t xml:space="preserve">Fueling station, Atlas ReFuel; digester and upgrading facility, Incline Clean Energy </t>
  </si>
  <si>
    <t>Wastewater treatment facility, doing codigestion with food waste from local manufacturers</t>
  </si>
  <si>
    <t>City of Newark piloted a Biogas Recovery System utilizing PSA (Pressure Swing Adsorption) gas enrichment technology developed by Guild Associates. The gas upgrade system utilizes specialized adsorbents and process cycles to produce pipeline quality natural gas which is sold to a utility. No codigestion.</t>
  </si>
  <si>
    <t>Biogas is routed to BioCNG during off-peak hours to be compressed for vehicle use; excess biogas routed to combined heat and power microturbines. Upgrading system: iron sponges before a Unison gas conditioning skid that chills the gas to remove the moisture, reheats and pressurizes the gas to 100 psi, siloxane removal vessels with super silica gel and carbon based material.  A selective membrane removes CO2. CNG produced is used to fuel a CNG lawnmower, and 8 other dual fuel (unleaded gasoline/CNG) vehicles including a car, a van and pick up trucks; all are owned by the waster and wastewater utility. No codigestion</t>
  </si>
  <si>
    <t>https://www.longmontcolorado.gov/Home/Components/News/News/4229/3?backlist=%2F  
http://www.timescall.com/longmont-local-news/ci_31529520/   
https://www.denverpost.com/2017/12/18/longmont-sewage-biofuels/   
https://www.denverpost.com/2017/12/18/longmont-sewage-biofuels/ 
https://www.longmontcolorado.gov/departments/departments-n-z/water/wastewater-treatment
http://www.timescall.com/longmont-local-news/ci_32400208/construction-begins-longmont-facility-project-convert-sewage-treatment
https://patch.com/colorado/boulder/longmonts-newest-sustainable-fuel-sewage-gas</t>
  </si>
  <si>
    <t>DTE Biomass Energy, Inc.; Enerdyne Power Systems, Inc.; Morrow Renewables, LLC</t>
  </si>
  <si>
    <t xml:space="preserve">Manure pond? </t>
  </si>
  <si>
    <t xml:space="preserve">City of Longmont; Carollo Engineers; CGRS Inc. </t>
  </si>
  <si>
    <t>Yes, municipal vehicles only (?)</t>
  </si>
  <si>
    <t>13 million GPD</t>
  </si>
  <si>
    <t>7 MGD</t>
  </si>
  <si>
    <t>Currently uses 75 percent biogas for cogeneration, boilers, biogas sales to local industry; remainder flared [with some excess biogas to flare].  Feb 2015, the City of Portland approved a contract for final design of a facility to convert biogas to RNG.  Vehicle fueling station completed at end of 2017 and currently operational.  By end of 2019, to begin injection of RNG into NW Natural pipeline.</t>
  </si>
  <si>
    <t>450 million gal/day</t>
  </si>
  <si>
    <t>Private, for municipal vehicles (?)</t>
  </si>
  <si>
    <t xml:space="preserve">City of Portalnd, NW Natural, Clean Energy Renwable Fuels </t>
  </si>
  <si>
    <t>Landfill, Sarpy County; gas upgrading, BioResource Development</t>
  </si>
  <si>
    <t>Renewable natural gas plant designed to remove H2S, VOCs, Siloxanes, moisture, CO2 and N2 prior to injecting process gas directly into the local utility 200psi natural gas pipeline.</t>
  </si>
  <si>
    <t>No. Off site public</t>
  </si>
  <si>
    <t>11.2.18</t>
  </si>
  <si>
    <t>20 MW CHP system taken offline when RNG production started</t>
  </si>
  <si>
    <t xml:space="preserve">NO </t>
  </si>
  <si>
    <t>Waste from corn processing</t>
  </si>
  <si>
    <t>Ameren Illinois receiving gas</t>
  </si>
  <si>
    <t xml:space="preserve">Archer Daniels Midland </t>
  </si>
  <si>
    <t>http://www.americanbiogascouncil.org/projectprofiles/southsanfranciscoca.pdf     http://zerowasteenergy.com/our-projects/blue-line-biogenic-cng-facility/   https://www.biocycle.net/2016/07/14/biogas-fleet-fuel-south-san-francisco/
https://energy-vision.org/wp-content/uploads/2016/01/South-SF-Scavenger-BlueLine-Profile.pdf</t>
  </si>
  <si>
    <t>City of Tacoma, working with design/build partner McKinstry-Essention LLC</t>
  </si>
  <si>
    <t xml:space="preserve">No codigestion. 4 digesters. Unison BioCNG upgrading technology. </t>
  </si>
  <si>
    <t>129 MGD</t>
  </si>
  <si>
    <t>29MGD</t>
  </si>
  <si>
    <t>Change 2018 v. 2017</t>
  </si>
  <si>
    <t>Change 2018 vs. 2017</t>
  </si>
  <si>
    <t>94.7MGD</t>
  </si>
  <si>
    <t xml:space="preserve">Projects status downgraded </t>
  </si>
  <si>
    <t xml:space="preserve">(From Under Construction to Operational, from Unconfirmed to Confirmed, etc.) </t>
  </si>
  <si>
    <t xml:space="preserve">(From Operational to Under Construction, etc.) </t>
  </si>
  <si>
    <t xml:space="preserve">Central Ohio BioEnergy (Equilibrium Capital) </t>
  </si>
  <si>
    <t xml:space="preserve">Change 2017/2018 </t>
  </si>
  <si>
    <t>Shut Down and Cancelled 2017</t>
  </si>
  <si>
    <t xml:space="preserve">Total Shut Down and Cancelled 2018
(running total) </t>
  </si>
  <si>
    <t>Aria Energy (through our Mavrix JV)</t>
  </si>
  <si>
    <t>6000 SCFM LFG to RNG project</t>
  </si>
  <si>
    <t>1000 SCFM LFG to RNG project</t>
  </si>
  <si>
    <t>Landfill, Republic Services; upgrading operation, Aria Energy (through our Mavrix JV)</t>
  </si>
  <si>
    <t>3000 SCFM LFG to RNG project</t>
  </si>
  <si>
    <t>https://www.epa.gov/sites/production/files/2017-10/documents/chahbazpour_rng_2017_panel1.pdf
https://www.aecom.com/press-releases/aecom-announced-today-that-it-has-been-awarded-a-design-build-contract-from-national-grid-in-partnership-with-the-new-york-city-department-of-environmental-protection-to-provide-engineering-procure/</t>
  </si>
  <si>
    <t>National Grid; AECOM (design and build)</t>
  </si>
  <si>
    <t xml:space="preserve">Q1 2019? </t>
  </si>
  <si>
    <t>Landfill, Waste Management; upgrading, Montauk Energy (RNG Coalition calls this 'Humble')</t>
  </si>
  <si>
    <t>South Wastewater Treatment Plant (King County)</t>
  </si>
  <si>
    <t>Injected into Northern Natural Gas pipeline</t>
  </si>
  <si>
    <t xml:space="preserve">KS </t>
  </si>
  <si>
    <t>5.77 MGD</t>
  </si>
  <si>
    <t>Ford</t>
  </si>
  <si>
    <t>Warrior Biogas Reuse Project</t>
  </si>
  <si>
    <t>Dodge City, Guild Associates (equipment), Jacob Engineering (operation)</t>
  </si>
  <si>
    <t>https://www.dodgeglobe.com/news/20180412/mission-complete-warrior-project-biogas-facility-is-ready
https://www.hpj.com/ag_news/commitment-to-re-use-municipal-waste-boosts-renewable-energy-sector/article_61a688a0-0ba4-553f-819e-571542b8b667.html
http://www.ucict.com/images/uploads/project-pdfs/Project_Highlight_-_DodgeCityBiogas.pdf
http://www.americanbiogascouncil.org/pdf/Warrior%20Project%20Profile-Final.pdf</t>
  </si>
  <si>
    <t xml:space="preserve">Poultry </t>
  </si>
  <si>
    <t xml:space="preserve">Clean Bay Renewables </t>
  </si>
  <si>
    <t>Thermophilic complete mix?</t>
  </si>
  <si>
    <t>Tanks</t>
  </si>
  <si>
    <t xml:space="preserve">Project will produce renewable electricity and renewable natural gas from chicken litter </t>
  </si>
  <si>
    <t xml:space="preserve">Clean Bay Renewables Westover </t>
  </si>
  <si>
    <t xml:space="preserve">Under Construction </t>
  </si>
  <si>
    <t>Construction, 2018</t>
  </si>
  <si>
    <t>2 MW</t>
  </si>
  <si>
    <t>https://www.delmarvanow.com/story/news/2017/06/28/pushback-grows-westover-over-waste-to-energy-facility/431694001/
http://cleanbayrenewables.com/</t>
  </si>
  <si>
    <t>Feb. 2017 http://www.chicoer.com/article/NA/20170219/NEWS/170219682
https://www.facebook.com/pg/LBGGroupPurchasing/photos/?tab=album&amp;album_id=437696499616003
http://www.biogas-energy.com/site/index.html</t>
  </si>
  <si>
    <t>Biogas-to-CNG upgrading produces biomethane that is then compressed and distributed in a CNG fueling station to fuel North State Rendering's truck fleet, which is being converted to duel-fuel CNG/diesel; biomethane is pipeline-quality and can also be injected into the pipeline for sale to other customers (awaiting approval); some biogas pre-upgrading used for combined heat and power generator to produce 100% of the electricity used on site as well as heat to operate the plant. On site fueling facility for vehicles</t>
  </si>
  <si>
    <t>Turkey Creek Landfill/Alvarado (Morrow)</t>
  </si>
  <si>
    <t>Pine Hill/Longview (Kilgore) (Morrow)</t>
  </si>
  <si>
    <t>Southern Company Gas (You mentioned Georgia Power…)</t>
  </si>
  <si>
    <t>Landfill, Waste Management; Upgrading System, Valley LFG LLC</t>
  </si>
  <si>
    <t>Landfill, Williamson County</t>
  </si>
  <si>
    <t>Williamson</t>
  </si>
  <si>
    <t>McCommas Bluff Landfill (Energy Power Partners)</t>
  </si>
  <si>
    <t>Yes, municipal vehicles</t>
  </si>
  <si>
    <t>5.5 MGD</t>
  </si>
  <si>
    <t xml:space="preserve">1,600,000 average </t>
  </si>
  <si>
    <t>2,130,000 capacity</t>
  </si>
  <si>
    <t xml:space="preserve">Fair Oaks Dairy Digester 2 (RDF Site 2) </t>
  </si>
  <si>
    <t>http://biomassmagazine.com/articles/10641/crr-breaks-ground-on-california-ad-facility   
http://www.prnewswire.com/news-releases/socalgas-and-crr-environmental-announce-construction-of-pipeline-to-provide-carbon-neutral-renewable-natural-gas-300399808.html   http://www.fleetsandfuels.com/fuels/cng/2017/02/sogalgas-and-crr-for-rng-pipeline/
http://crrwasteservices.com/sustainability/anaerobic-digestion/</t>
  </si>
  <si>
    <t>Own fleet</t>
  </si>
  <si>
    <t>Landfill, Advanced Disposal; upgrading operation, Aria Energy (through our Mavrix JV)</t>
  </si>
  <si>
    <t>All RNG goes into Duke Energy Pipeline, though some of it is immediately re-directed back to site for use by 125 trucks of various types in Rumpke fleet. Adding about 20 trucks per year. Have added fast-fill station to existing time-fill station. GSF energy manages gas recovery. LFG blended with NG for delivery to NG customers; Pretreatment: non-methane hydrocarbon removal via chilling &amp; activated carbon absorption, 2 compressors driven by 700 HP electric motors, uses QuestAir pressure swing absorption technology</t>
  </si>
  <si>
    <t>Waste Management</t>
  </si>
  <si>
    <t>Dominion Energy, Ohio</t>
  </si>
  <si>
    <t>Arkansas Oklahoma Gas Corporation (AOGC); Los Angeles Dept. of Water and Power; Shell Energy</t>
  </si>
  <si>
    <t>Los Angeles Department of Water &amp; Power (LADWP); Panhandle Eastern Pipeline; Shell Energy North America</t>
  </si>
  <si>
    <t>DTE Energy</t>
  </si>
  <si>
    <t>Westar Energy</t>
  </si>
  <si>
    <t xml:space="preserve">Connectiv Energy Supply Inc. </t>
  </si>
  <si>
    <t xml:space="preserve">Keystone Renewable Energy, Leaf Clean Energy </t>
  </si>
  <si>
    <t>Physical solvent process with patented enhancements and catalytic oxygen removal - removes CO2, H2O, H2S, siloxanes, and other impurities from LFG; gas is transported and sold into adjoining natural gas pipeline</t>
  </si>
  <si>
    <t xml:space="preserve">Enbridge Inc. </t>
  </si>
  <si>
    <t>Greenwood Farms Landfill/Tyler (Morrow "East Texas")</t>
  </si>
  <si>
    <t xml:space="preserve">Private </t>
  </si>
  <si>
    <t>Physical solvent process with patented enhancements and catalytic oxygen removal - removes CO2, H2O, H2S, siloxanes, and other impurities from LFG; gas is transported 5.5 miles and sold into adjoining natural gas pipeline</t>
  </si>
  <si>
    <t>Renewable Identification Number-- a credit under the RFS, based on an ethanol gallon equivalent of energy. 11.7 RINs to the MMBTU</t>
  </si>
  <si>
    <t>Plant can generate 404.7 million cubic feet of renewable natural gas per year</t>
  </si>
  <si>
    <t>Mas Energy, University of California</t>
  </si>
  <si>
    <t>Atmos Pipeline-Texas; Shell Energy North America</t>
  </si>
  <si>
    <t>Dane County Landfill #2 - Rodefeld (BioCNG)</t>
  </si>
  <si>
    <t>~1,050 scfm of LFG used to produce electricity</t>
  </si>
  <si>
    <t>Dane County Fleet</t>
  </si>
  <si>
    <t>~900</t>
  </si>
  <si>
    <t>BIOFerm</t>
  </si>
  <si>
    <t>BIOFerm LFG conditioning system has capacity to upgrade 2,500 scfm of LFG (LFG is ~1,700 scfm).</t>
  </si>
  <si>
    <t>N/A, 100% LFG sent to upgrading facility</t>
  </si>
  <si>
    <t>Kwik Trip &amp; Dane County Fleet</t>
  </si>
  <si>
    <t xml:space="preserve">Private filling station for fleet vehicles (~3% of flow). </t>
  </si>
  <si>
    <t>Planned upgrades flagged in 2017 response</t>
  </si>
  <si>
    <t>Randolph Farms Landfill</t>
  </si>
  <si>
    <t>Summer 2018</t>
  </si>
  <si>
    <t xml:space="preserve">Randolph Farms Inc. </t>
  </si>
  <si>
    <t xml:space="preserve">Relatively small scale project, upgrading about 15% of landfill gas. Doing single pass upgrading, only capturing about 40% of the gross volume of gas. Not a 24/7 operation, but capturing about 1500 MMBTU/month. Gas being used to fuel part of collection fleet, about 8 trucks out of 40. Any project expansion will be based on expansion of CNG portion of fleet.  Upgrading skid installed by Unison Solutions, using Air Liquide membrane separation technology. </t>
  </si>
  <si>
    <t>Huntington</t>
  </si>
  <si>
    <t xml:space="preserve">Manure lagoon? </t>
  </si>
  <si>
    <t>http://starbioenergy.com/huntington/</t>
  </si>
  <si>
    <t>AG Power Jerome LLC</t>
  </si>
  <si>
    <t xml:space="preserve">ID </t>
  </si>
  <si>
    <t xml:space="preserve">2012 as electric </t>
  </si>
  <si>
    <t>Camco Clean Energy</t>
  </si>
  <si>
    <t>Plug flow</t>
  </si>
  <si>
    <t xml:space="preserve">Large farm </t>
  </si>
  <si>
    <t>http://biomassmagazine.com/articles/9859/camco-clean-energy-completes-acquisition-of-idaho-facility
https://www.camco.energy/ag-power-jerome-us/
http://biomassmagazine.com/articles/12619/camco-reaches-agreement-to-sell-2-idaho-biogas-projects</t>
  </si>
  <si>
    <t xml:space="preserve">Existing dairy electrical project is being converted to RNG production for pipeline injection to vehicle market </t>
  </si>
  <si>
    <t xml:space="preserve">Randolph Farms Landfill </t>
  </si>
  <si>
    <t>http://www.biomassmagazine.com/articles/12345/hoosier-energy-to-build-fourth-landfill-gas-to-energy-plant
https://www.waste360.com/gas-energy/waste-energy-firms-partner-indiana-landfill-gas-project
http://jacksonremc.coopwebbuilder2.com/sites/jacksonremc/files/Billing%20Files/whl%20-%209-2015.pdf</t>
  </si>
  <si>
    <t xml:space="preserve">STAR BioEnergy Huntington (New Dawn Dairy) </t>
  </si>
  <si>
    <t xml:space="preserve">IN </t>
  </si>
  <si>
    <t>Construction began Q3 2018?</t>
  </si>
  <si>
    <t>STAR BioEnergy</t>
  </si>
  <si>
    <t>2 Large dairy farms</t>
  </si>
  <si>
    <t>DVO, DMT gas upgrading &amp; Montrose operating plant</t>
  </si>
  <si>
    <t>DVO plug flow, manure only AD system with gas going to grid, for California vehicle fueling market</t>
  </si>
  <si>
    <t xml:space="preserve">Vectren </t>
  </si>
  <si>
    <t>Chicken litter provided by contractors, actual populations not known</t>
  </si>
  <si>
    <t xml:space="preserve">No, possibly in future </t>
  </si>
  <si>
    <t xml:space="preserve">Chicken litter only </t>
  </si>
  <si>
    <t xml:space="preserve">AD system by Eagle Green, biogas upgrading system by Nacelle. Project will include proprietary Clean Bay pre-conditioning system ahead of nutrient recovery  </t>
  </si>
  <si>
    <t>Eastern Shore pipeline owned by Chesapeake Utilities or else Transco Williams pipeline</t>
  </si>
  <si>
    <t xml:space="preserve">Seabreeze Environmental; gas upgrading, DTE Biomass Energy </t>
  </si>
  <si>
    <t>Brazoria</t>
  </si>
  <si>
    <t>DTE Energy, Los Angeles Department of Water and Power; Shell Energy North America</t>
  </si>
  <si>
    <t>https://www.cattlemaps.com/feedlot/tk-red-river-dairy/  
http://www.macdon.com/en/performance/story/big-cheese
https://impactalpha.com/tapping-the-municipal-bond-market-for-green-distributed-infrastructure/</t>
  </si>
  <si>
    <t>4,000,000 GGE by 2021</t>
  </si>
  <si>
    <t>https://englewoodherald.net/stories/englewood-council-oks-biogas-plan-littleton,268723?</t>
  </si>
  <si>
    <t>20MGD</t>
  </si>
  <si>
    <t>South Platte Water Renewal Partners</t>
  </si>
  <si>
    <t xml:space="preserve">CO </t>
  </si>
  <si>
    <t>Fremont WWTP</t>
  </si>
  <si>
    <t>City of Fremont, DMT Clean Gas Solutions</t>
  </si>
  <si>
    <t>https://www.fremontne.gov/23/Utilities
https://www.dmt-cgs.com/products/biogas-upgrading/</t>
  </si>
  <si>
    <t>10.5MGD</t>
  </si>
  <si>
    <t xml:space="preserve">6.5MGD </t>
  </si>
  <si>
    <t>Construction 2018</t>
  </si>
  <si>
    <t>Upgrading is part of general facility expansion. Have on digester, are installing second, and building 3 anaerobic lagoons. DMT Clear Gas Solution ystem will upgrade methane. Some gas will go to boiler at the plant, will sell remainder into pipeline, hopefully into vehicle market so they can collect RINs, do not seem sure at this time. Project online ealy 2020</t>
  </si>
  <si>
    <t>Sept. 2018</t>
  </si>
  <si>
    <t>50MGD</t>
  </si>
  <si>
    <t>XL Energy; does not know end users, but enerating RINs</t>
  </si>
  <si>
    <t xml:space="preserve">Hope to commission by July 2019. Total of five digesters which they alternate. Unison Technologies gas upgrading system. Says XL has stringent injection standards.   </t>
  </si>
  <si>
    <t xml:space="preserve">Not available </t>
  </si>
  <si>
    <t xml:space="preserve">LFG collection system is pulling gas from three adjoining landfills, including one that is closed. Ameresco upgrading operation using PSA technology to upgrade gas to pipeline quality. Put into pipeline for ultimate use by vehicles. Producing 3500 MMBTU per day. </t>
  </si>
  <si>
    <t>6,842,320 (2017)</t>
  </si>
  <si>
    <t xml:space="preserve">RINs per MMBTU (landfill gas) </t>
  </si>
  <si>
    <t>BTUs per RIN</t>
  </si>
  <si>
    <t>Treats landfill gas using Selexol technology to be used by GHI Energy in the transportation fuel markets and pumped into a pipeline for public use. Physical solvent process with patented enhancements and catalytic oxygen removal to remove CO2, H2O, H2S, siloxanes, and other impurities. Gas sent down pipeline for use by 3rd party as vehicle fuel. Fall 2017, upgrade to double plant capacity to 8.0 Million SCFD inlet LFG flow</t>
  </si>
  <si>
    <t>Selexol process is used to separate CO2 and CH4. Gas end users are commercial fleet vehicles. 7% planned capacity upgraded for 2017 - 23% capacity upgrade planned for 2018/2019</t>
  </si>
  <si>
    <t>BioCNG is small-scale CNG production for about 30 county vehicles-currently moving fueling facility. Expanded project, now produces 250 GGE/day from 50 cfm LFG</t>
  </si>
  <si>
    <t xml:space="preserve">Aggregates biogas from 5 contiguous farms. Gas from 5 digesters pumped to central upgrading station for refining. Produces 80,000MMBTU of RNG, equivalent to 11,000Mwh of electricity. Upgrading technology providers Unison and Guild-- PSA?  </t>
  </si>
  <si>
    <t xml:space="preserve">Creates High Btu RNG that’s injected into the Consumers Energy pipeline and sold to a third party to be dispensed into CNG/LNG vehicles. Uses Kryosol upgrading process. </t>
  </si>
  <si>
    <t>Creates high BTU RNG injected into the pipeline infrastructure; uses Kryosol (methanol) technology; combined facility with Stony Hollow, with Pinnacle Road Landfill providing about 30% LFG flow to project. All figures on this project based on 30%. Gas processing equipment removes CO2 to produce methane meeting NG pipeline quality specifications; uses Kyrosol Solvent technology</t>
  </si>
  <si>
    <t xml:space="preserve">240,000 MMBTU used on site in in 2018, not included in upgraded MMBTU or GGE/yr. </t>
  </si>
  <si>
    <t>Southern Oklahoma Regional Disposal Landfill</t>
  </si>
  <si>
    <t>Southern Oklahoma Regional Disposal</t>
  </si>
  <si>
    <t xml:space="preserve">Lynx Renewable Energy </t>
  </si>
  <si>
    <t xml:space="preserve">CO2 scrubbers, oxygen removal, activated carbon. </t>
  </si>
  <si>
    <t>http://www.lynxrenewableenergy.com/
https://applications.deq.ok.gov/permitspublic/storedpermits/4455.pdf</t>
  </si>
  <si>
    <t xml:space="preserve">XTO pipeline (subsid. Exxon) </t>
  </si>
  <si>
    <t>Public</t>
  </si>
  <si>
    <t>1500 (AgStar 1/2019)</t>
  </si>
  <si>
    <t>http://www.mbbnet.umn.edu/company_folder/bisonenergy.html 
http://www.startribune.com/taking-a-giant-green-gamble-on-biogas/236784221/ 
http://www.nwestiowa.com/news/creditors-place-former-bison-renewable-facility-in-chapter-bankruptcy/article_6faefe80-6a24-11e1-93be-001a4bcf6878.html
https://www.nwestiowa.com/news/million-biofuels-plant-coming-to-hull/article_532ad028-36cc-11e9-8206-6fa00b80fbc5.html</t>
  </si>
  <si>
    <t>Cancelled, future potential</t>
  </si>
  <si>
    <t>Shut down, future potential</t>
  </si>
  <si>
    <t xml:space="preserve">Cancelled with future potential </t>
  </si>
  <si>
    <t>Shut down with future potential</t>
  </si>
  <si>
    <t xml:space="preserve">Cancelled, future potential </t>
  </si>
  <si>
    <t>Shut down/ cancelled with future potential</t>
  </si>
  <si>
    <t>Shut Down and Cancelled, Futute Potential</t>
  </si>
  <si>
    <t>Dairy biogas digester project producing pipeline renewable natural gas. Hosted by four dairies, Pagel’s Ponderosa Dairy Farm, Dairy Dreams Dairy Farm, Grotegut Dairy Farm, Maple Leaf East and West Dairy Farms.</t>
  </si>
  <si>
    <t>https://dtepowerandindustrial.com/project/calumet-renewable-energy-under-construction/
https://www.cargilldairydreams.com/en/another-set-of-eyes-really-makes-the-difference
https://www.agweb.com/article/farm-wisconsin-discovery-center-opens-barn-doors/
https://hoards.com/article-25225-dte-biomass-energy-commissions-first-dairy-renewable-natural-gas-project-in-wisconsin.html</t>
  </si>
  <si>
    <t>http://www.greenenergyohio.org/page.cfm?pageID=2949   http://farmenergy.org/success-stories/anerobic-digesters/ringler-energy-llc   https://www.bioohio.com/item/quasar-energy-group-llc-ringler-energy/    https://www.farmanddairy.com/news/smell-success-ringler-energy-opens-new-digester-morrow-county-swine-farm/156783.html</t>
  </si>
  <si>
    <t>Renergy Emerald</t>
  </si>
  <si>
    <t>Renergy</t>
  </si>
  <si>
    <t>7000 MWh/year</t>
  </si>
  <si>
    <t>Food Wastes, Biosolids</t>
  </si>
  <si>
    <t>Consolidated Electric Cooperative</t>
  </si>
  <si>
    <t>https://www.bioohio.com/item/dovetail-energy/
https://renergy.com/ 
http://biomassmagazine.com/plants/view/6448</t>
  </si>
  <si>
    <t>Greene</t>
  </si>
  <si>
    <t xml:space="preserve">Renergy? </t>
  </si>
  <si>
    <t>Uses waste from swine farm with liquid and solid organics, food processing waste, fats, oils, greases, and biosolids to generate  electricity.</t>
  </si>
  <si>
    <t>7600 MWh/year</t>
  </si>
  <si>
    <t>Food waste, Biosolids</t>
  </si>
  <si>
    <t>First Energy</t>
  </si>
  <si>
    <t>RNG project or expansion is online</t>
  </si>
  <si>
    <t>Construction is underway on RNG project or expansion</t>
  </si>
  <si>
    <t>RNG project or expansion has ceased operations</t>
  </si>
  <si>
    <t>RNG project has been shut down, potential to re-open in future</t>
  </si>
  <si>
    <t>There are plans for an RNG project or project expansion</t>
  </si>
  <si>
    <t>Planned RNG project has been scrapped</t>
  </si>
  <si>
    <t>Planned RNG project has been scrapped, potential to re-visit in future</t>
  </si>
  <si>
    <t>The RNG project is offline temporarily</t>
  </si>
  <si>
    <t>https://www.bioohio.com/item/quasar-energy-group-llc-haviland-energy/   http://brownfieldagnews.com/news/ohio-receives-funding-for-5-biodigester-projects/   http://www.greenenergyohio.org/page.cfm?pageID=2949</t>
  </si>
  <si>
    <t>Paulding</t>
  </si>
  <si>
    <t>Processes biosolids, regional food waste, FOG, and manure to generate electricity and CNG; energy then sold to Haviland Plastic Products plant; on-site CNG fueling station</t>
  </si>
  <si>
    <t>8600 MW/year</t>
  </si>
  <si>
    <t>American Electric Power</t>
  </si>
  <si>
    <t>https://www.bioohio.com/item/quasar-energy-group-llc-three-creek-bioenergy/ http://quasareg.com/New/wp-content/uploads/2016/10/Three-Creek-2016.pdf</t>
  </si>
  <si>
    <t>Three Creek BioEnergy</t>
  </si>
  <si>
    <t>Lorain</t>
  </si>
  <si>
    <t>Digests sludge from wastewater treatment plant as well as local business waste to generate electricity and produce vehicle fuel</t>
  </si>
  <si>
    <t>42,000 tons/year</t>
  </si>
  <si>
    <t>1 MW/hr</t>
  </si>
  <si>
    <t>SHUT DOWN; FUTURE POTENTIAL?</t>
  </si>
  <si>
    <t>CANCELLED; FUTURE POTENTIAL?</t>
  </si>
  <si>
    <t>Sites listed were Operational throughout, or came online at some point in, calendar 2018</t>
  </si>
  <si>
    <t>PIPELINE</t>
  </si>
  <si>
    <t>VEHICLE FUEL</t>
  </si>
  <si>
    <t>BOTH</t>
  </si>
  <si>
    <t>UNKNOWN</t>
  </si>
  <si>
    <t>OTHER</t>
  </si>
  <si>
    <t>Operational Calendar 2018?</t>
  </si>
  <si>
    <t>NO, Production of RNG anticipated for Q4 2019</t>
  </si>
  <si>
    <t>NO. 2020?</t>
  </si>
  <si>
    <t>NO, production anticipated by late 2019</t>
  </si>
  <si>
    <t>Projects status UPGRADED from 2017</t>
  </si>
  <si>
    <t>Projects status DOWNGRADED from 2017</t>
  </si>
  <si>
    <t>THIS LIST LAST UPDATED 4.3.2019</t>
  </si>
  <si>
    <r>
      <t xml:space="preserve">A source associated with the project has verified the status; the status of the project is simply </t>
    </r>
    <r>
      <rPr>
        <i/>
        <sz val="11"/>
        <color rgb="FF000000"/>
        <rFont val="Calibri"/>
        <family val="2"/>
      </rPr>
      <t>known</t>
    </r>
    <r>
      <rPr>
        <sz val="11"/>
        <color rgb="FF000000"/>
        <rFont val="Calibri"/>
        <family val="2"/>
      </rPr>
      <t xml:space="preserve">; for Operational projects, we have confirmed with other soruces AND </t>
    </r>
    <r>
      <rPr>
        <sz val="11"/>
        <color rgb="FF000000"/>
        <rFont val="Calibri"/>
        <family val="2"/>
      </rPr>
      <t xml:space="preserve">the project appears in the Part 80 database.   </t>
    </r>
  </si>
  <si>
    <t>RNG Disposition</t>
  </si>
  <si>
    <t>Project Scale</t>
  </si>
  <si>
    <t>RIN Registrant?</t>
  </si>
  <si>
    <t>Further Information</t>
  </si>
  <si>
    <t xml:space="preserve">RNG DISPOSITION </t>
  </si>
  <si>
    <t xml:space="preserve">Further Information </t>
  </si>
  <si>
    <t xml:space="preserve">REPORTED OUTPUT, CAPACITY, END USE </t>
  </si>
  <si>
    <t xml:space="preserve">RNG Disposition </t>
  </si>
  <si>
    <t xml:space="preserve">PROJECT  INFORMATION </t>
  </si>
  <si>
    <t xml:space="preserve">Onsite Public or Private Filling station? </t>
  </si>
  <si>
    <t>REPORTED INPUT, OUTPUT, CAPACITY, END-USE</t>
  </si>
  <si>
    <t xml:space="preserve">On-site fueling? </t>
  </si>
  <si>
    <t>Plans to register</t>
  </si>
  <si>
    <t xml:space="preserve">Further  Information </t>
  </si>
  <si>
    <t>Maricopa</t>
  </si>
  <si>
    <t>Dakota</t>
  </si>
  <si>
    <t>Arapahoe</t>
  </si>
  <si>
    <t xml:space="preserve">Dodge </t>
  </si>
  <si>
    <t>Pierce</t>
  </si>
  <si>
    <t xml:space="preserve">Sullivan </t>
  </si>
  <si>
    <t xml:space="preserve">Gentry </t>
  </si>
  <si>
    <t>Manitowoc</t>
  </si>
  <si>
    <t xml:space="preserve">Pinal </t>
  </si>
  <si>
    <t xml:space="preserve">Jerome </t>
  </si>
  <si>
    <t xml:space="preserve">Macon </t>
  </si>
  <si>
    <t>Brown</t>
  </si>
  <si>
    <t>Davis</t>
  </si>
  <si>
    <t>Vander Poel (Bar VP?)</t>
  </si>
  <si>
    <t xml:space="preserve">If producing vehicle fuel, fueling station onsite? </t>
  </si>
  <si>
    <t xml:space="preserve">If producing vehicle fuel, fueling station on site? </t>
  </si>
  <si>
    <t>According to quasar website, public</t>
  </si>
  <si>
    <t>RIN Registrants</t>
  </si>
  <si>
    <t>~41000</t>
  </si>
  <si>
    <t>~1360</t>
  </si>
  <si>
    <t>~8300</t>
  </si>
  <si>
    <t>~19,000</t>
  </si>
  <si>
    <t>~720</t>
  </si>
  <si>
    <t>~37,600</t>
  </si>
  <si>
    <t>~38,000</t>
  </si>
  <si>
    <t>CO2e Emissions Eliminated (metric tonnes/yr)</t>
  </si>
  <si>
    <t>SCFD *.001 * 365 *.9 = MMBTU (Assumes 1000 BTU/SCFD, 90% run time, 365 days)</t>
  </si>
  <si>
    <t>MMBTU/(.001*365*.9) = SCFD (Assumes 1000 BTU/SCFD, 90% run time, 365 days)</t>
  </si>
  <si>
    <t xml:space="preserve">Equilibrium Capital </t>
  </si>
  <si>
    <t xml:space="preserve">Honouliuli Wastewater Treatment Plant </t>
  </si>
  <si>
    <t>OPERATIONAL
END Q1 2019</t>
  </si>
  <si>
    <t>Yellow = added to data base in 2019</t>
  </si>
  <si>
    <t>Fair Oaks Dairy (RDF 1)</t>
  </si>
  <si>
    <t>Fair Oaks 2 (RDF 2)</t>
  </si>
  <si>
    <t>completely new</t>
  </si>
  <si>
    <t>Status change: 2018 vs 2017</t>
  </si>
  <si>
    <t>Completely new</t>
  </si>
  <si>
    <t xml:space="preserve">Completely new operational projects </t>
  </si>
  <si>
    <t>Addl upgrades (un to confirmed, plng to const, cancel to plng/const)</t>
  </si>
  <si>
    <t xml:space="preserve">Moved from under construction to operational </t>
  </si>
  <si>
    <t>OPERATIONAL
CY 2018</t>
  </si>
  <si>
    <t>moved from construction</t>
  </si>
  <si>
    <t>Moved from  construction</t>
  </si>
  <si>
    <t>Moved from construction</t>
  </si>
  <si>
    <t>Addl downgrades (moved from plng to cancel)</t>
  </si>
  <si>
    <t xml:space="preserve">Operational Projects as of end Q1 2019 </t>
  </si>
  <si>
    <t xml:space="preserve">Operational Projects as of end CY 2018 </t>
  </si>
  <si>
    <t>Status changes:</t>
  </si>
  <si>
    <t>TOTAL</t>
  </si>
  <si>
    <t xml:space="preserve">Downgrade (moved from opertional to shut down) Clean World </t>
  </si>
  <si>
    <t xml:space="preserve">Operational Projects as of end CY 2017 </t>
  </si>
  <si>
    <t xml:space="preserve">Value calculated from other info </t>
  </si>
  <si>
    <t>Info witheld by owner/developer</t>
  </si>
  <si>
    <t>Value  from 2017 database</t>
  </si>
  <si>
    <t>Receiving Utility</t>
  </si>
  <si>
    <t>#</t>
  </si>
  <si>
    <t xml:space="preserve">By RNG Disposition </t>
  </si>
  <si>
    <t>MMBTU</t>
  </si>
  <si>
    <t>Total MMBTU</t>
  </si>
  <si>
    <t xml:space="preserve">By RNG disposition </t>
  </si>
  <si>
    <t>Operational projects w/output ests.</t>
  </si>
  <si>
    <t>By RNG Disposition</t>
  </si>
  <si>
    <t>Projects w/output ests.</t>
  </si>
  <si>
    <t>Operational LF Projects</t>
  </si>
  <si>
    <t xml:space="preserve"> MMBTU</t>
  </si>
  <si>
    <t xml:space="preserve">Total by RNG disposition </t>
  </si>
  <si>
    <t xml:space="preserve">     Total </t>
  </si>
  <si>
    <t>Value from other public source</t>
  </si>
  <si>
    <t>As of 12/31/18</t>
  </si>
  <si>
    <t>CONFIRMED OPERATIONAL</t>
  </si>
  <si>
    <t>Farm/ Project Name</t>
  </si>
  <si>
    <t>By Reported Capacity</t>
  </si>
  <si>
    <t>Landfill/ Project Name</t>
  </si>
  <si>
    <t>Westmoreland Co. Sanitary Landfill</t>
  </si>
  <si>
    <t>Milam Recycling &amp; Disposal Facility (Waste Management)</t>
  </si>
  <si>
    <t>Douglas Co. Landfill-State St. (BioResource Development)</t>
  </si>
  <si>
    <t>Sarpy Co. Landfill, BioResource Development N1</t>
  </si>
  <si>
    <t>Dane Co. Landfill #2 - Rodefeld (RNG Facility)</t>
  </si>
  <si>
    <t>Pinnacle Rd Landfill (N. Sanitary Landfill) (WM, DTE Biomass Energy)</t>
  </si>
  <si>
    <t>Burlington Co. Landfill</t>
  </si>
  <si>
    <t>By Reported capacity</t>
  </si>
  <si>
    <t>Value from LMOP</t>
  </si>
  <si>
    <t>Value from AgSTAR</t>
  </si>
  <si>
    <r>
      <t xml:space="preserve">CONFIRMED </t>
    </r>
    <r>
      <rPr>
        <b/>
        <sz val="14"/>
        <color rgb="FFFF0000"/>
        <rFont val="Calibri"/>
        <family val="2"/>
      </rPr>
      <t xml:space="preserve">OPERATIONAL </t>
    </r>
    <r>
      <rPr>
        <b/>
        <sz val="14"/>
        <rFont val="Calibri"/>
        <family val="2"/>
      </rPr>
      <t>WWT PROJECTS BY END DATE</t>
    </r>
  </si>
  <si>
    <r>
      <t xml:space="preserve">CONFIRMED </t>
    </r>
    <r>
      <rPr>
        <b/>
        <sz val="14"/>
        <color rgb="FFFF0000"/>
        <rFont val="Calibri"/>
        <family val="2"/>
      </rPr>
      <t xml:space="preserve">OPERATIONAL </t>
    </r>
    <r>
      <rPr>
        <b/>
        <sz val="14"/>
        <rFont val="Calibri"/>
        <family val="2"/>
      </rPr>
      <t>FOOD WASTE PROJECTS BY END DATE</t>
    </r>
  </si>
  <si>
    <r>
      <t xml:space="preserve">CONFIRMED </t>
    </r>
    <r>
      <rPr>
        <b/>
        <sz val="14"/>
        <color rgb="FFFF0000"/>
        <rFont val="Calibri"/>
        <family val="2"/>
      </rPr>
      <t>OPERATIONAL</t>
    </r>
    <r>
      <rPr>
        <b/>
        <sz val="14"/>
        <rFont val="Calibri"/>
        <family val="2"/>
      </rPr>
      <t xml:space="preserve"> FARM &amp; AG PROJECTS BY END DATE</t>
    </r>
  </si>
  <si>
    <t>UNCONFIRMED FARM/AG PROJECTS</t>
  </si>
  <si>
    <t>UNCONFIRMED FOOD WASTE PROJECTS</t>
  </si>
  <si>
    <t xml:space="preserve">Total </t>
  </si>
  <si>
    <t>UNCONFIRMED LANDFILL PROJECTS</t>
  </si>
  <si>
    <t xml:space="preserve">TOTAL </t>
  </si>
  <si>
    <t>Total confirmed projects</t>
  </si>
  <si>
    <t>Total confirmed LF projects</t>
  </si>
  <si>
    <t xml:space="preserve">Total  </t>
  </si>
  <si>
    <r>
      <t xml:space="preserve">CONFIRMED </t>
    </r>
    <r>
      <rPr>
        <b/>
        <sz val="14"/>
        <color rgb="FFFF0000"/>
        <rFont val="Calibri"/>
        <family val="2"/>
      </rPr>
      <t>OPERATIONAL</t>
    </r>
    <r>
      <rPr>
        <b/>
        <sz val="14"/>
        <rFont val="Calibri"/>
        <family val="2"/>
      </rPr>
      <t xml:space="preserve"> LF PROJECTS </t>
    </r>
    <r>
      <rPr>
        <b/>
        <sz val="14"/>
        <color rgb="FFFF0000"/>
        <rFont val="Calibri"/>
        <family val="2"/>
      </rPr>
      <t>BY END DATE</t>
    </r>
  </si>
  <si>
    <r>
      <t xml:space="preserve">CONFIRMED LF PROJECTS </t>
    </r>
    <r>
      <rPr>
        <b/>
        <i/>
        <sz val="12"/>
        <color rgb="FFFF0000"/>
        <rFont val="Calibri"/>
        <family val="2"/>
      </rPr>
      <t>UNDER CONSTRUCTION</t>
    </r>
    <r>
      <rPr>
        <b/>
        <i/>
        <sz val="12"/>
        <color rgb="FF000000"/>
        <rFont val="Calibri"/>
        <family val="2"/>
      </rPr>
      <t xml:space="preserve"> (PROJECTED MMBTU)</t>
    </r>
  </si>
  <si>
    <r>
      <t xml:space="preserve">CONFIRMED FOOD WASTE PROJECTS </t>
    </r>
    <r>
      <rPr>
        <b/>
        <i/>
        <sz val="12"/>
        <color rgb="FFFF0000"/>
        <rFont val="Calibri"/>
        <family val="2"/>
      </rPr>
      <t>UNDER CONSTRUCTION</t>
    </r>
    <r>
      <rPr>
        <b/>
        <i/>
        <sz val="12"/>
        <rFont val="Calibri"/>
        <family val="2"/>
      </rPr>
      <t xml:space="preserve"> (PROJECTED MMBTU)</t>
    </r>
  </si>
  <si>
    <r>
      <t xml:space="preserve">CONFIRMED FARM/AG PROJECTS </t>
    </r>
    <r>
      <rPr>
        <b/>
        <i/>
        <sz val="12"/>
        <color rgb="FFFF0000"/>
        <rFont val="Calibri"/>
        <family val="2"/>
      </rPr>
      <t>UNDER CONSTRUCTION</t>
    </r>
    <r>
      <rPr>
        <b/>
        <i/>
        <sz val="12"/>
        <rFont val="Calibri"/>
        <family val="2"/>
      </rPr>
      <t xml:space="preserve"> (PROJECTED MMBTU)</t>
    </r>
  </si>
  <si>
    <r>
      <t xml:space="preserve">CONFIRMED WWT PROJECTS </t>
    </r>
    <r>
      <rPr>
        <b/>
        <i/>
        <sz val="12"/>
        <color rgb="FFFF0000"/>
        <rFont val="Calibri"/>
        <family val="2"/>
      </rPr>
      <t>UNDER CONSTRUCTION</t>
    </r>
    <r>
      <rPr>
        <b/>
        <i/>
        <sz val="12"/>
        <rFont val="Calibri"/>
        <family val="2"/>
      </rPr>
      <t xml:space="preserve"> (PROJECTED MMBTU)</t>
    </r>
  </si>
  <si>
    <t>Operational Projects</t>
  </si>
  <si>
    <t>UNCONFIRMED WWT PROJECTS</t>
  </si>
  <si>
    <t>CONFIRMED PROJECTS BY TYPE &amp; STATUS at end of data collection (end Q1 2019)</t>
  </si>
  <si>
    <t>UNCONFIRMED PROJECTS BY TYPE &amp; STATUS</t>
  </si>
  <si>
    <t>Q1 2019 Total</t>
  </si>
  <si>
    <t>2017 Total</t>
  </si>
  <si>
    <t xml:space="preserve">2017 Total </t>
  </si>
  <si>
    <t>2018 Total</t>
  </si>
  <si>
    <t>Change, 2018 over 2017</t>
  </si>
  <si>
    <t>Change, 2019 Q1 over 2017</t>
  </si>
  <si>
    <t>Operational projects w/output estimates</t>
  </si>
  <si>
    <t>2017 Total Operational, Construction, Planned</t>
  </si>
  <si>
    <t>WWT</t>
  </si>
  <si>
    <t>Description and Guide to the RNG (Renewable Natural Gas) Database</t>
  </si>
  <si>
    <r>
      <t>A.</t>
    </r>
    <r>
      <rPr>
        <b/>
        <sz val="7"/>
        <color indexed="63"/>
        <rFont val="Times New Roman"/>
        <family val="1"/>
      </rPr>
      <t xml:space="preserve">      </t>
    </r>
    <r>
      <rPr>
        <b/>
        <sz val="11"/>
        <color indexed="63"/>
        <rFont val="Calibri"/>
        <family val="2"/>
      </rPr>
      <t xml:space="preserve">PURPOSE </t>
    </r>
  </si>
  <si>
    <r>
      <t xml:space="preserve">The RNG database was developed to provide a comprehensive list of </t>
    </r>
    <r>
      <rPr>
        <b/>
        <sz val="11"/>
        <color indexed="63"/>
        <rFont val="Calibri"/>
        <family val="2"/>
      </rPr>
      <t>biogas projects that are upgrading gas for pipeline injection or use as vehicle fuel</t>
    </r>
    <r>
      <rPr>
        <sz val="11"/>
        <color indexed="63"/>
        <rFont val="Calibri"/>
        <family val="2"/>
      </rPr>
      <t xml:space="preserve"> (whether locally or at the end of a pipeline). </t>
    </r>
  </si>
  <si>
    <t>Because the size and scope of projects that do not have a “shovel in the ground” are often in flux, the database excludes planned projects.</t>
  </si>
  <si>
    <t>The database is an Excel .xls format spreadsheet and is compatible with any version of Misrosoft Excel. Although a handful of Canadian projects deliver RNG into the US, all projects listed in the database are in the United States.</t>
  </si>
  <si>
    <r>
      <t>B.</t>
    </r>
    <r>
      <rPr>
        <b/>
        <sz val="7"/>
        <color indexed="63"/>
        <rFont val="Times New Roman"/>
        <family val="1"/>
      </rPr>
      <t xml:space="preserve">      </t>
    </r>
    <r>
      <rPr>
        <b/>
        <sz val="11"/>
        <color indexed="63"/>
        <rFont val="Calibri"/>
        <family val="2"/>
      </rPr>
      <t xml:space="preserve">ACKNOWLEDGEMENTS </t>
    </r>
  </si>
  <si>
    <t xml:space="preserve">This spreadsheet was developed by staff of Argonne National Laboratory ("Argonne"), with the assistance of Energy Vision. Argonne is a U.S. Department of Energy laboratory managed by UChicago Argonne, LLC under contract DE-AC02-06CH11357.  </t>
  </si>
  <si>
    <t>Energy Vision is a 501 (c)(3) environmental research group. Energy Vision’s work was conducted under Argonne Contract No. 7F-30133.</t>
  </si>
  <si>
    <t xml:space="preserve">This spreadsheet was prepared as an account of work sponsored by an agency of the United States Government. Neither the United States Government nor any agency thereof, nor UChicago Argonne, LLC, nor any of their employees or officers, </t>
  </si>
  <si>
    <t xml:space="preserve">makes any warranty, express or implied, or assumes any legal liability or responsibility for t. he accuracy, completeness, or usefulness of any information, apparatus, product, or process disclosed, or represents that its use would not infringe privately owned rights. </t>
  </si>
  <si>
    <t xml:space="preserve">Reference herein to any specific commercial product, process, or service by trade name, trademark, manufacturer, or otherwise, does not necessarily constitute or imply its endorsement, recommendation, or favoring by the United States Government </t>
  </si>
  <si>
    <t>or any agency thereof. The views and opinions of document authors expressed herein do not necessarily state or reflect those of the United States Government or any agency thereof, Argonne National Laboratory, or UChicago Argonne, LLC.</t>
  </si>
  <si>
    <r>
      <t>C.</t>
    </r>
    <r>
      <rPr>
        <sz val="7"/>
        <color indexed="63"/>
        <rFont val="Times New Roman"/>
        <family val="1"/>
      </rPr>
      <t xml:space="preserve">      </t>
    </r>
    <r>
      <rPr>
        <b/>
        <sz val="11"/>
        <color indexed="63"/>
        <rFont val="Calibri"/>
        <family val="2"/>
      </rPr>
      <t>STRUCTURE AND DEFINITION OF TERMS</t>
    </r>
  </si>
  <si>
    <t xml:space="preserve">The spreadsheet systematically summarizes existing projects. It updates and extends earlier unpublished work by Argonne. Energy Vision worked from this initial starting point to confirm/update the status of projects in the original list, </t>
  </si>
  <si>
    <t xml:space="preserve">reconcile any differences between the Argonne list their our own project list, and add new operational and in-development projects to the list.   </t>
  </si>
  <si>
    <t xml:space="preserve"> The views and opinions of document authors expressed herein do not necessarily state or reflect those of the United States Government or any agency thereof, Argonne National Laboratory, or UChicago Argonne, LLC.</t>
  </si>
  <si>
    <r>
      <t xml:space="preserve">Excluding this </t>
    </r>
    <r>
      <rPr>
        <b/>
        <sz val="11"/>
        <color indexed="63"/>
        <rFont val="Calibri"/>
        <family val="2"/>
      </rPr>
      <t xml:space="preserve">Overview </t>
    </r>
    <r>
      <rPr>
        <sz val="11"/>
        <color indexed="63"/>
        <rFont val="Calibri"/>
        <family val="2"/>
      </rPr>
      <t>tab, the database contains nine tabs: five project tabs summarizing projects by feedstock, and four tabs providing summaries, definitions and other notes.</t>
    </r>
  </si>
  <si>
    <r>
      <t>Project tabs:</t>
    </r>
    <r>
      <rPr>
        <sz val="11"/>
        <color indexed="63"/>
        <rFont val="Calibri"/>
        <family val="2"/>
      </rPr>
      <t xml:space="preserve"> List RNG projects by the feedstock from which they derive biogas.</t>
    </r>
  </si>
  <si>
    <r>
      <t>1.</t>
    </r>
    <r>
      <rPr>
        <sz val="7"/>
        <color indexed="63"/>
        <rFont val="Times New Roman"/>
        <family val="1"/>
      </rPr>
      <t xml:space="preserve">       </t>
    </r>
    <r>
      <rPr>
        <b/>
        <sz val="11"/>
        <color indexed="63"/>
        <rFont val="Calibri"/>
        <family val="2"/>
      </rPr>
      <t>Farms</t>
    </r>
    <r>
      <rPr>
        <sz val="11"/>
        <color indexed="63"/>
        <rFont val="Calibri"/>
        <family val="2"/>
      </rPr>
      <t>: Projects primarily using animal manure; but also some co-digestion of food or other organic waste.</t>
    </r>
  </si>
  <si>
    <r>
      <t>2.</t>
    </r>
    <r>
      <rPr>
        <sz val="7"/>
        <color indexed="63"/>
        <rFont val="Times New Roman"/>
        <family val="1"/>
      </rPr>
      <t xml:space="preserve">       </t>
    </r>
    <r>
      <rPr>
        <b/>
        <sz val="11"/>
        <color indexed="63"/>
        <rFont val="Calibri"/>
        <family val="2"/>
      </rPr>
      <t>Food waste</t>
    </r>
    <r>
      <rPr>
        <sz val="11"/>
        <color indexed="63"/>
        <rFont val="Calibri"/>
        <family val="2"/>
      </rPr>
      <t>: Projects using food waste as the main feedstock.</t>
    </r>
  </si>
  <si>
    <r>
      <t>3.</t>
    </r>
    <r>
      <rPr>
        <sz val="7"/>
        <color indexed="63"/>
        <rFont val="Times New Roman"/>
        <family val="1"/>
      </rPr>
      <t xml:space="preserve">       </t>
    </r>
    <r>
      <rPr>
        <b/>
        <sz val="11"/>
        <color indexed="63"/>
        <rFont val="Calibri"/>
        <family val="2"/>
      </rPr>
      <t xml:space="preserve">Landfills: </t>
    </r>
    <r>
      <rPr>
        <sz val="11"/>
        <color indexed="63"/>
        <rFont val="Calibri"/>
        <family val="2"/>
      </rPr>
      <t>Projects tapping and upgrading gas from existing landfills.</t>
    </r>
  </si>
  <si>
    <r>
      <t>4.</t>
    </r>
    <r>
      <rPr>
        <sz val="7"/>
        <color indexed="63"/>
        <rFont val="Times New Roman"/>
        <family val="1"/>
      </rPr>
      <t xml:space="preserve">       </t>
    </r>
    <r>
      <rPr>
        <b/>
        <sz val="11"/>
        <color indexed="63"/>
        <rFont val="Calibri"/>
        <family val="2"/>
      </rPr>
      <t>Wastewater Treatment (WWT):</t>
    </r>
    <r>
      <rPr>
        <sz val="11"/>
        <color indexed="63"/>
        <rFont val="Calibri"/>
        <family val="2"/>
      </rPr>
      <t xml:space="preserve"> Projects upgrading gas from anaerobic digesters at wastewater treatment plants to pipeline/vehicle grade.</t>
    </r>
  </si>
  <si>
    <r>
      <t>5.</t>
    </r>
    <r>
      <rPr>
        <sz val="7"/>
        <color indexed="63"/>
        <rFont val="Times New Roman"/>
        <family val="1"/>
      </rPr>
      <t xml:space="preserve">       </t>
    </r>
    <r>
      <rPr>
        <b/>
        <sz val="11"/>
        <color indexed="63"/>
        <rFont val="Calibri"/>
        <family val="2"/>
      </rPr>
      <t xml:space="preserve">Other Waste: </t>
    </r>
    <r>
      <rPr>
        <sz val="11"/>
        <color indexed="63"/>
        <rFont val="Calibri"/>
        <family val="2"/>
      </rPr>
      <t>Projects using forest waste, other biomass, etc. to produce RNG.</t>
    </r>
  </si>
  <si>
    <r>
      <t>6.</t>
    </r>
    <r>
      <rPr>
        <sz val="7"/>
        <color indexed="63"/>
        <rFont val="Times New Roman"/>
        <family val="1"/>
      </rPr>
      <t xml:space="preserve">       </t>
    </r>
    <r>
      <rPr>
        <b/>
        <i/>
        <sz val="11"/>
        <color indexed="63"/>
        <rFont val="Calibri"/>
        <family val="2"/>
      </rPr>
      <t>Operational Projects List:</t>
    </r>
    <r>
      <rPr>
        <sz val="11"/>
        <color indexed="63"/>
        <rFont val="Calibri"/>
        <family val="2"/>
      </rPr>
      <t xml:space="preserve"> Contains only projects confirmed as operational. </t>
    </r>
  </si>
  <si>
    <r>
      <t>7.</t>
    </r>
    <r>
      <rPr>
        <sz val="7"/>
        <color indexed="63"/>
        <rFont val="Times New Roman"/>
        <family val="1"/>
      </rPr>
      <t xml:space="preserve">       </t>
    </r>
    <r>
      <rPr>
        <b/>
        <i/>
        <sz val="11"/>
        <color indexed="63"/>
        <rFont val="Calibri"/>
        <family val="2"/>
      </rPr>
      <t>Totals:</t>
    </r>
    <r>
      <rPr>
        <sz val="11"/>
        <color indexed="63"/>
        <rFont val="Calibri"/>
        <family val="2"/>
      </rPr>
      <t xml:space="preserve"> Lists all projects by feedstock and status, along with potential annual RNG production.</t>
    </r>
  </si>
  <si>
    <r>
      <t>8.</t>
    </r>
    <r>
      <rPr>
        <sz val="7"/>
        <color indexed="63"/>
        <rFont val="Times New Roman"/>
        <family val="1"/>
      </rPr>
      <t xml:space="preserve">       </t>
    </r>
    <r>
      <rPr>
        <b/>
        <i/>
        <sz val="11"/>
        <color indexed="63"/>
        <rFont val="Calibri"/>
        <family val="2"/>
      </rPr>
      <t>List values:</t>
    </r>
    <r>
      <rPr>
        <sz val="11"/>
        <color indexed="63"/>
        <rFont val="Calibri"/>
        <family val="2"/>
      </rPr>
      <t xml:space="preserve"> Provides explanations of the values used in picklists in the project sheets.</t>
    </r>
  </si>
  <si>
    <r>
      <t>9.</t>
    </r>
    <r>
      <rPr>
        <sz val="7"/>
        <color indexed="63"/>
        <rFont val="Times New Roman"/>
        <family val="1"/>
      </rPr>
      <t xml:space="preserve">       </t>
    </r>
    <r>
      <rPr>
        <b/>
        <i/>
        <sz val="11"/>
        <color indexed="63"/>
        <rFont val="Calibri"/>
        <family val="2"/>
      </rPr>
      <t xml:space="preserve">Notes: </t>
    </r>
    <r>
      <rPr>
        <sz val="11"/>
        <color indexed="63"/>
        <rFont val="Calibri"/>
        <family val="2"/>
      </rPr>
      <t xml:space="preserve">Provides definitions of abbreviations and acronyms, conversion factors and formulae used within the projects sheets, and links to databases referenced within the projects sheets. </t>
    </r>
  </si>
  <si>
    <r>
      <t>D.</t>
    </r>
    <r>
      <rPr>
        <b/>
        <sz val="7"/>
        <color indexed="63"/>
        <rFont val="Times New Roman"/>
        <family val="1"/>
      </rPr>
      <t xml:space="preserve">      </t>
    </r>
    <r>
      <rPr>
        <b/>
        <sz val="11"/>
        <color indexed="63"/>
        <rFont val="Calibri"/>
        <family val="2"/>
      </rPr>
      <t xml:space="preserve">ABOUT THE PROJECTS TABS: </t>
    </r>
  </si>
  <si>
    <t xml:space="preserve">In each of the projects sheets, projects are organized in two ways: </t>
  </si>
  <si>
    <t xml:space="preserve">Such contacts include staff at landfill owner/management companies (e.g. Waste Management, Republic); landfill or WWTP site managers; municipal officials (e.g. county solid waste or water authorities); </t>
  </si>
  <si>
    <t xml:space="preserve">Reported values generally cannot be verified from publicly available information. </t>
  </si>
  <si>
    <r>
      <t>2.</t>
    </r>
    <r>
      <rPr>
        <b/>
        <i/>
        <sz val="7"/>
        <color indexed="63"/>
        <rFont val="Times New Roman"/>
        <family val="1"/>
      </rPr>
      <t xml:space="preserve">       </t>
    </r>
    <r>
      <rPr>
        <b/>
        <i/>
        <sz val="11"/>
        <color indexed="63"/>
        <rFont val="Calibri"/>
        <family val="2"/>
      </rPr>
      <t xml:space="preserve">Project Status: </t>
    </r>
  </si>
  <si>
    <r>
      <t>·</t>
    </r>
    <r>
      <rPr>
        <sz val="7"/>
        <color indexed="63"/>
        <rFont val="Times New Roman"/>
        <family val="1"/>
      </rPr>
      <t xml:space="preserve">         </t>
    </r>
    <r>
      <rPr>
        <sz val="11"/>
        <color indexed="63"/>
        <rFont val="Calibri"/>
        <family val="2"/>
      </rPr>
      <t xml:space="preserve">Operational; </t>
    </r>
  </si>
  <si>
    <r>
      <t>·</t>
    </r>
    <r>
      <rPr>
        <sz val="7"/>
        <color indexed="63"/>
        <rFont val="Times New Roman"/>
        <family val="1"/>
      </rPr>
      <t xml:space="preserve">         </t>
    </r>
    <r>
      <rPr>
        <sz val="11"/>
        <color indexed="63"/>
        <rFont val="Calibri"/>
        <family val="2"/>
      </rPr>
      <t xml:space="preserve">Under Construction; </t>
    </r>
  </si>
  <si>
    <r>
      <t>·</t>
    </r>
    <r>
      <rPr>
        <sz val="7"/>
        <color indexed="63"/>
        <rFont val="Times New Roman"/>
        <family val="1"/>
      </rPr>
      <t xml:space="preserve">         </t>
    </r>
    <r>
      <rPr>
        <sz val="11"/>
        <color indexed="63"/>
        <rFont val="Calibri"/>
        <family val="2"/>
      </rPr>
      <t xml:space="preserve">Shut Down/Cancelled. </t>
    </r>
    <r>
      <rPr>
        <i/>
        <sz val="11"/>
        <color indexed="63"/>
        <rFont val="Calibri"/>
        <family val="2"/>
      </rPr>
      <t xml:space="preserve">(Please see </t>
    </r>
    <r>
      <rPr>
        <b/>
        <i/>
        <sz val="11"/>
        <color indexed="63"/>
        <rFont val="Calibri"/>
        <family val="2"/>
      </rPr>
      <t>List Values</t>
    </r>
    <r>
      <rPr>
        <i/>
        <sz val="11"/>
        <color indexed="63"/>
        <rFont val="Calibri"/>
        <family val="2"/>
      </rPr>
      <t xml:space="preserve"> tab for more about Status.)</t>
    </r>
  </si>
  <si>
    <r>
      <t xml:space="preserve">Key and comments: </t>
    </r>
    <r>
      <rPr>
        <sz val="11"/>
        <color indexed="63"/>
        <rFont val="Calibri"/>
        <family val="2"/>
      </rPr>
      <t xml:space="preserve">Each project tab has a key at the top left of the page explaining the color coding in the sheet, as well as some additional comments. </t>
    </r>
  </si>
  <si>
    <r>
      <t>E.</t>
    </r>
    <r>
      <rPr>
        <b/>
        <sz val="7"/>
        <color indexed="63"/>
        <rFont val="Times New Roman"/>
        <family val="1"/>
      </rPr>
      <t xml:space="preserve">       </t>
    </r>
    <r>
      <rPr>
        <b/>
        <sz val="11"/>
        <color indexed="63"/>
        <rFont val="Calibri"/>
        <family val="2"/>
      </rPr>
      <t xml:space="preserve">DATA COLLECTION </t>
    </r>
  </si>
  <si>
    <t xml:space="preserve">This effort was aided by the Coalition for Renewable Natural Gas, which assisted us in contacting their membership. As noted, we tried wherever possible to identify and reach out to a contact at the site or an associated organization. </t>
  </si>
  <si>
    <t xml:space="preserve">Information from contacts was collected using questionnaires (the majority of cases), or in phone conversations. Questionnaires that were e-mailed to contacts were populated with any project information that was available </t>
  </si>
  <si>
    <t xml:space="preserve">Information was also collected through general web research encompassing company, municipal and academic websites, trade journals, conference materials and press reports. </t>
  </si>
  <si>
    <t xml:space="preserve">and the EPA Part 80 Fuels Program lists (showing organizations and projects that are registered under the Renewable Fuel Standard).  </t>
  </si>
  <si>
    <r>
      <t>F.</t>
    </r>
    <r>
      <rPr>
        <b/>
        <sz val="7"/>
        <color indexed="63"/>
        <rFont val="Times New Roman"/>
        <family val="1"/>
      </rPr>
      <t xml:space="preserve">       </t>
    </r>
    <r>
      <rPr>
        <b/>
        <sz val="11"/>
        <color indexed="63"/>
        <rFont val="Calibri"/>
        <family val="2"/>
      </rPr>
      <t>DATA COLLECTION COMMENTS</t>
    </r>
  </si>
  <si>
    <t xml:space="preserve">In other cases, it was necessary to reach out to multiple agencies, multiple offices of the same company, former site or facility owners, project developers who no longer held an interest in the project, new owners who weren’t yet familiar, </t>
  </si>
  <si>
    <t xml:space="preserve">and trade reporters. There was no shortage of unanswered or disconnected phones, bad e-mail addresses and live websites for long-dead projects. We have included and updated as much of this information as possible. </t>
  </si>
  <si>
    <t xml:space="preserve"> A few contacts responded to the first call or mail; most required at least a few attempts; many calls and questionnaires simply never got a response, despite multiple follow ups. </t>
  </si>
  <si>
    <t xml:space="preserve">The quality of responses, particularly to e-mailed questionnaires, varied greatly. And while a few were complete and thorough, often many questions were simply left unanswered. </t>
  </si>
  <si>
    <t xml:space="preserve">Many respondents never directly addressed whether our existing information was accurate, while a few told us that what we had (limited as it may have been) was reasonably accurate and answered nothing else. </t>
  </si>
  <si>
    <t xml:space="preserve">In phone conversations contacts described the values they were providing as approximate, and in some cases as “ballparks”. In more than one case, information from one source was contradicted by information from another contact. </t>
  </si>
  <si>
    <t xml:space="preserve">Landfill managers often had limited familiarity with upgrading projects, and were generally unwilling to discuss the amount of “waste in place” or daily intake. Where we consulted the LMOP database, values were frequently from 2012 or before, </t>
  </si>
  <si>
    <t xml:space="preserve">and in some cases were clearly inaccurate (i.e. projects that were producing more upgraded gas than was actually being sent for upgrading). Press accounts and information from contacts often did not match up either. </t>
  </si>
  <si>
    <t xml:space="preserve">As a rule, where we had information from multiple sources (e.g. a press story and a contact), we used information from the primary source contact as “best and final”.     </t>
  </si>
  <si>
    <r>
      <t>·</t>
    </r>
    <r>
      <rPr>
        <sz val="7"/>
        <color indexed="63"/>
        <rFont val="Times New Roman"/>
        <family val="1"/>
      </rPr>
      <t xml:space="preserve">         </t>
    </r>
    <r>
      <rPr>
        <b/>
        <sz val="11"/>
        <color indexed="63"/>
        <rFont val="Calibri"/>
        <family val="2"/>
      </rPr>
      <t>Total projects, all statuses</t>
    </r>
    <r>
      <rPr>
        <sz val="11"/>
        <color indexed="63"/>
        <rFont val="Calibri"/>
        <family val="2"/>
      </rPr>
      <t xml:space="preserve">:  </t>
    </r>
  </si>
  <si>
    <r>
      <t>·</t>
    </r>
    <r>
      <rPr>
        <sz val="7"/>
        <color indexed="63"/>
        <rFont val="Times New Roman"/>
        <family val="1"/>
      </rPr>
      <t xml:space="preserve">         </t>
    </r>
    <r>
      <rPr>
        <b/>
        <sz val="11"/>
        <color indexed="63"/>
        <rFont val="Calibri"/>
        <family val="2"/>
      </rPr>
      <t>Total confirmed operational projects:</t>
    </r>
    <r>
      <rPr>
        <sz val="11"/>
        <color indexed="63"/>
        <rFont val="Calibri"/>
        <family val="2"/>
      </rPr>
      <t xml:space="preserve"> </t>
    </r>
  </si>
  <si>
    <r>
      <t>·</t>
    </r>
    <r>
      <rPr>
        <sz val="7"/>
        <color indexed="63"/>
        <rFont val="Times New Roman"/>
        <family val="1"/>
      </rPr>
      <t>        </t>
    </r>
    <r>
      <rPr>
        <b/>
        <sz val="11"/>
        <color indexed="63"/>
        <rFont val="Times New Roman"/>
        <family val="1"/>
      </rPr>
      <t xml:space="preserve"> </t>
    </r>
    <r>
      <rPr>
        <b/>
        <sz val="11"/>
        <color indexed="63"/>
        <rFont val="Calibri"/>
        <family val="2"/>
      </rPr>
      <t>RNG production capability</t>
    </r>
    <r>
      <rPr>
        <b/>
        <sz val="11"/>
        <color indexed="63"/>
        <rFont val="Calibri"/>
        <family val="2"/>
      </rPr>
      <t xml:space="preserve"> (confirmed operational projects):   </t>
    </r>
  </si>
  <si>
    <t>MMBtu or</t>
  </si>
  <si>
    <t>GGEs</t>
  </si>
  <si>
    <r>
      <t>·</t>
    </r>
    <r>
      <rPr>
        <sz val="7"/>
        <color indexed="63"/>
        <rFont val="Times New Roman"/>
        <family val="1"/>
      </rPr>
      <t xml:space="preserve">         </t>
    </r>
    <r>
      <rPr>
        <b/>
        <sz val="11"/>
        <color indexed="63"/>
        <rFont val="Calibri"/>
        <family val="2"/>
      </rPr>
      <t>Total confirmed under construction projects:</t>
    </r>
    <r>
      <rPr>
        <sz val="11"/>
        <color indexed="63"/>
        <rFont val="Calibri"/>
        <family val="2"/>
      </rPr>
      <t xml:space="preserve"> </t>
    </r>
  </si>
  <si>
    <t xml:space="preserve">MMBtu or </t>
  </si>
  <si>
    <t>H.       CITATION AND CONTACT INFORMATION</t>
  </si>
  <si>
    <t>The spreadsheet may be cited as follows:</t>
  </si>
  <si>
    <t>For further information, please contact:</t>
  </si>
  <si>
    <t>Marianne Mintz</t>
  </si>
  <si>
    <t>mmintz@anl.gov</t>
  </si>
  <si>
    <t>or</t>
  </si>
  <si>
    <t>Phil Voss</t>
  </si>
  <si>
    <t xml:space="preserve">vos@energy-vision.org </t>
  </si>
  <si>
    <t>CONFIRMED OPERATIONAL PROJECTS BY PRODUCTION CAPABILITY at end of data collection (end Q1 2019)</t>
  </si>
  <si>
    <t>CONFIRMED PROJECTS BY PRODUCTION CAPABILITY, Operational in Calendar 2018</t>
  </si>
  <si>
    <t>CONFIRMED UNDER CONSTRUCTION BY PRODUCTION CAPABILITY, end of data collection (end Q1 2019)</t>
  </si>
  <si>
    <t>UNCONFIRMED OPERATIONAL PROJECTS BY PRODUCTION CAPABILITY</t>
  </si>
  <si>
    <r>
      <t xml:space="preserve">                   </t>
    </r>
    <r>
      <rPr>
        <b/>
        <sz val="11"/>
        <color rgb="FF000000"/>
        <rFont val="Calibri"/>
        <family val="2"/>
      </rPr>
      <t xml:space="preserve"> RNG production capability (</t>
    </r>
    <r>
      <rPr>
        <b/>
        <sz val="11"/>
        <color indexed="8"/>
        <rFont val="Calibri"/>
        <family val="2"/>
      </rPr>
      <t xml:space="preserve">confirmed under construction projects): </t>
    </r>
  </si>
  <si>
    <r>
      <t>1.            Confirmed or unconfirmed</t>
    </r>
    <r>
      <rPr>
        <b/>
        <sz val="11"/>
        <color indexed="63"/>
        <rFont val="Calibri"/>
        <family val="2"/>
      </rPr>
      <t>:</t>
    </r>
    <r>
      <rPr>
        <sz val="11"/>
        <color indexed="63"/>
        <rFont val="Calibri"/>
        <family val="2"/>
      </rPr>
      <t xml:space="preserve"> This indicates whether we have been able to contact someone directly associated with the project to collect data, or at least confirm the </t>
    </r>
    <r>
      <rPr>
        <b/>
        <sz val="11"/>
        <color indexed="63"/>
        <rFont val="Calibri"/>
        <family val="2"/>
      </rPr>
      <t>status</t>
    </r>
    <r>
      <rPr>
        <sz val="11"/>
        <color indexed="63"/>
        <rFont val="Calibri"/>
        <family val="2"/>
      </rPr>
      <t xml:space="preserve"> of the project. </t>
    </r>
  </si>
  <si>
    <t>project development organizations (e.g. Morrow Renewables, Montauk Energy, Ameresco); and technology providers (e.g. Air Liquide).  (Please see List Values tab in spreadsheet for more about Confirmed vs. Unconfirmed.)</t>
  </si>
  <si>
    <r>
      <t xml:space="preserve">Under </t>
    </r>
    <r>
      <rPr>
        <b/>
        <sz val="11"/>
        <color indexed="63"/>
        <rFont val="Calibri"/>
        <family val="2"/>
      </rPr>
      <t>“Confirmed”</t>
    </r>
    <r>
      <rPr>
        <sz val="11"/>
        <color indexed="63"/>
        <rFont val="Calibri"/>
        <family val="2"/>
      </rPr>
      <t xml:space="preserve"> and </t>
    </r>
    <r>
      <rPr>
        <b/>
        <sz val="11"/>
        <color indexed="63"/>
        <rFont val="Calibri"/>
        <family val="2"/>
      </rPr>
      <t>“Unconfirmed,”</t>
    </r>
    <r>
      <rPr>
        <sz val="11"/>
        <color indexed="63"/>
        <rFont val="Calibri"/>
        <family val="2"/>
      </rPr>
      <t xml:space="preserve"> projects are listed by:</t>
    </r>
  </si>
  <si>
    <t>from the earlier published Argonne database, Energy Vision’s project profiles, or information found online (see below). Contacts were asked to confirm or update that information.</t>
  </si>
  <si>
    <t xml:space="preserve">Other sources included the US EPA Landfill Methane Outreach Program (LMOP) database (for landfill projects); the US EPA AgSTAR database (for farm-based projects); </t>
  </si>
  <si>
    <t xml:space="preserve">Identification of appropriate contact people was an often-frustrating process. In some cases, contacts were easily reached using the 2017 version of the database. </t>
  </si>
  <si>
    <t xml:space="preserve">Several contacts refused to participate. Others asked us to delete public information, or to change projects from operational to under construction or planned in despite earlier public announcements that they were operational. </t>
  </si>
  <si>
    <t xml:space="preserve">It includes projects that were either in operation or under construction as of December 2018 (or March 30, 2019), along with previously operational projects now shut down. </t>
  </si>
  <si>
    <r>
      <rPr>
        <b/>
        <sz val="14"/>
        <color rgb="FFFF0000"/>
        <rFont val="Calibri"/>
        <family val="2"/>
        <scheme val="minor"/>
      </rPr>
      <t>TOTAL</t>
    </r>
    <r>
      <rPr>
        <b/>
        <sz val="14"/>
        <rFont val="Calibri"/>
        <family val="2"/>
        <scheme val="minor"/>
      </rPr>
      <t xml:space="preserve"> CONFIRMED FARM &amp; AG PROJECTS at end data collection, </t>
    </r>
    <r>
      <rPr>
        <b/>
        <sz val="14"/>
        <color rgb="FFFF0000"/>
        <rFont val="Calibri"/>
        <family val="2"/>
        <scheme val="minor"/>
      </rPr>
      <t>3/31/19</t>
    </r>
  </si>
  <si>
    <t>As of 3/31/19</t>
  </si>
  <si>
    <t>TOTAL CONFIRMED FOOD WASTE PROJECTS at end data collection, 3/31/19</t>
  </si>
  <si>
    <t>TOTAL CONFIRMED LANDFILL PROJECTS at end data collection, 3/31/19</t>
  </si>
  <si>
    <t>TOTAL CONFIRMED WWT PROJECTS at end data collection 3/31/19</t>
  </si>
  <si>
    <t>Projects</t>
  </si>
  <si>
    <t xml:space="preserve">Project status upgraded </t>
  </si>
  <si>
    <t xml:space="preserve">Project status downgraded </t>
  </si>
  <si>
    <t>Pipeline injection expected to begin Q1 2019.</t>
  </si>
  <si>
    <t>Landfill, Waste Management, Inc. Upgrading System, Air Liquide</t>
  </si>
  <si>
    <t xml:space="preserve">Air-Liquide membrane separation produces 2,000 MMBtu/day of 950 Btu/scf gas, biological sulfur removal system named Thiopak. Creates high BTU RNG injected into the pipeline infrastructure. With 2014 upgrade, 3400 MMBTU day. According to LMOP, Planned expansion would add another 3MCFD </t>
  </si>
  <si>
    <r>
      <t>Produces CNG vehicle fuel for an on-site fueling station used to power Sheriff’s Department cars, light duty trucks and a light duty van, and the solid waste district’s utility trucks. Membrane removes CO2, silica medium removes silica, volatile organic compounds removed by charcoal-like compound, coconut based medium to remove other VOCs, Sulfa treat to remove H</t>
    </r>
    <r>
      <rPr>
        <vertAlign val="subscript"/>
        <sz val="7"/>
        <rFont val="Calibri"/>
        <family val="2"/>
        <scheme val="minor"/>
      </rPr>
      <t>2</t>
    </r>
    <r>
      <rPr>
        <sz val="7"/>
        <rFont val="Calibri"/>
        <family val="2"/>
        <scheme val="minor"/>
      </rPr>
      <t xml:space="preserve">S. 50 cfm LFG produces 250 gallons of gasoline equivalent (GGE)/day; convert LFG to bio-CNG vehicle fuel for 1 passenger van, 5 sedans &amp; 10 fleet pick-up trucks. 2018, have upgraded compressors, no impact on production levels, just makes production a bit easier. </t>
    </r>
  </si>
  <si>
    <t>Within Parish, 1 passenger van Sherriff office, 10 Refuse trucks, 5 pickups city of Opelousas, 1 pickup parish Gov't, 7 pickups and 1 F550 roll off- solid waste,</t>
  </si>
  <si>
    <t xml:space="preserve">Landfill, Northeast Mississippi Solid Waste Management Authority; upgrading operation, Air Liquide </t>
  </si>
  <si>
    <t>One Oak Gas Transportation LLC; BP</t>
  </si>
  <si>
    <t xml:space="preserve">LFG processed to pipeline quality transported 3 miles to interstate pipeline, and used exclusively for electricity production. LFG processed to pipeline quality transported 3 miles to interstate pipeline, and used exclusively for electricity production. All gas sold to Shell North America for export to California for electricity production. Hope to be putting it into vehicle market in future. </t>
  </si>
  <si>
    <t>Creates high BTU RNG injected into the pipeline infrastructure without contract. All output being purchased by Aria</t>
  </si>
  <si>
    <t>Creates high BTU RNG injected into the pipeline infrastructure committed to fueling CNG and LNG vehicles. Landfill currently operating 35 CNG collection trucks, will be auditioning CNG tractor trailers to bring material form transfer stations to landfill. Have built fast-fill station at the landfill, which complements slow-fill station at the main yard. Is open to public.  ~1.5 mile pipeline to NG transmission line, Air Liquide membrane technology, delivers 970 Btu/scf gas.</t>
  </si>
  <si>
    <t>Upgrading system is Selexol style modified physical solvent</t>
  </si>
  <si>
    <t>N. Texas Municipal Water Dist., Melissa ("NTMWD") (Morrow)</t>
  </si>
  <si>
    <t>DTE Biomass Energy, Inc.,. Waste Connections, Inc.</t>
  </si>
  <si>
    <t>Using Selexol, Amine and Cyrogenic NRU upgrading technologies. Began injecting gas into NW Natural pipeline 11.2.2018.</t>
  </si>
  <si>
    <t xml:space="preserve">Private filling station for fleet vehicles. </t>
  </si>
  <si>
    <t>Uses PSA upgrading technology. Injected  into Common Carrier for use in the Vehicle Fuels Market</t>
  </si>
  <si>
    <t xml:space="preserve">Facility will upgrade LFG to RNG and sell to 2-3 industrial offtakers </t>
  </si>
  <si>
    <t>http://www.scsengineers.com/scs-project-case-stu/biogas-anaerobic-digestion-cng-
energy-systems-vehicle-fuel-project-Sonoma-county-California/ 
http://www.scsengineers.com/
scs-project-case-stu/natural-
gas-vehicle-fuel-project-sonoma-county-California/</t>
  </si>
  <si>
    <t xml:space="preserve">Approx. 172,000 tons annually, 470 tons per day tons (Phase 2), eventually 335,000 tpy (phase 4) </t>
  </si>
  <si>
    <t>Approx. 470 tons (Phase 2), eventually 900 tpd</t>
  </si>
  <si>
    <t xml:space="preserve">Facility receives agricultural waste, primarily from slaughterhouses, although other compatible wastes are also treated. </t>
  </si>
  <si>
    <t>Up to 4.6 MW (3.0 MW parasitic load and 1.6 MW of export)</t>
  </si>
  <si>
    <t>WRR is a public-private partnership between ALPRO Energy &amp; Water (ALPRO) and the South Davis Sewer District (SDSD). The facility will be using state-of-the-art equipment, much of which is supplied by GE-Monsal, a strategic partner in the project. The WRR is sited right next to the existing South Plant wastewater treatment facility and will use much of the existing plants’ facilities to support the project. In the first phase of construction, two 2.5-million gallon tanks will be built to be used at the WRR facility for digestion. In this public-private partnership, the SDSD will operate the WRR facility and ALPRO will manage the feed stock and the energy and fertilizer offtakes. 
Project will ultimately include 4 digesters, a row of greenhouses, a boiler building, a chemical &amp; dewatering building, and a repackaging facility.</t>
  </si>
  <si>
    <t>Divert waste  from California’s landfills in order to produce renewable biomethane, which will be fed directly into the natural gas grid via a SoCal Gas transmission line adjacent to the property. The biomethane will also be supplied as a diesel alternative to San Joaquin Valley’s on-road truck market through a public access Bio-CNG fueling station located on the property. The facility will integrate combined heat and power (CHP) cogeneration modules, a portion of which can run on the biogas to generate electric and thermal energy for the facility. Any excess thermal energy will be exported to heat the adjacent City of Tulare Industrial Wastewater Treatment Plant’s digester. California Energy Commission awarded $5 million grant for this $25 million project</t>
  </si>
  <si>
    <t xml:space="preserve">Sacramento Biodigester/Incline Clean Energy (formerly Clean World) </t>
  </si>
  <si>
    <t>Biogas is used to power a 400 kW combined heat and power unit. Upgrading biogas to CNG for the campus vehicle fleet is a future consideration. 
Gases cleaned using a series of filters (water vapor via chiller, H2S via iron sponge, siloxanes and volatile organic carbons via carbon filter) prior to going to micro turbines. CHP</t>
  </si>
  <si>
    <t>Wilsonville foodscrap digester 
(Sustainable Organics Recycling Technology, SORT)</t>
  </si>
  <si>
    <t xml:space="preserve">At 2MW, the merchant plant has 5 feedstock tanks to sort supply, an equalization tank to mix and hold, and two 1.3M gallon anaerobic digesters. Digesters are continuously stirred and can process 132,000 gal./day. The two 1MW engines, unloading bays, gas skid, heat exchangers and solids processing are all enclosed with biological odor control. When fueling system is installed, will be initially for use by FCPC, then available under contract to local government and private fleets. Current upgrading process upgrading gas knocks particulates out, keep H2S down and drops out water vapor. No CO2 reduction, minimal volume change. </t>
  </si>
  <si>
    <t>Info withheld by owner/developer</t>
  </si>
  <si>
    <t>Upgraded MMBTU/yr.</t>
  </si>
  <si>
    <t xml:space="preserve"> GGE/yr.</t>
  </si>
  <si>
    <t>Capacity (GGE/yr.)</t>
  </si>
  <si>
    <t>CO2e Emissions Eliminated (metric tonnes/yr.)</t>
  </si>
  <si>
    <t>Calgren was awarded $1 million to support the $2.5 million R Vander Eyk Dairy Digester Fuel Pipeline Project in Pixley, California. The project is a covered lagoon digester processing manure in Tulare County. The project is owned by Calgren, which will construct it at no cost to the dairy and will make guaranteed payments to the dairy. The project is part of the Calgren Dairy Fuels Cluster. Biogas produced at the site will be supplied via a private pipeline to fuel two 5 MW gas turbines that power the Calgren ethanol refinery. The cluster will install a renewable compressed natural gas (RCNG) station and later connect to the utility pipeline to supply more RCNG stations.</t>
  </si>
  <si>
    <t xml:space="preserve">Part of nine-farm project encompassing 88 manure lagoons. Roeslein will develop, install, own and operate processing facilities to capture, purify and sell the biogas produced from the anaerobic conversion of manure. Uses Guild PSA upgrading technology. </t>
  </si>
  <si>
    <t xml:space="preserve">Part of nine-farm project encompassing 88 manure lagoons. Roeslein will develop, install, own and operate processing facilities to capture, purify and sell the biogas produced from the anaerobic conversion of manure. Uses Guild PSA upgrading. </t>
  </si>
  <si>
    <t>Part of nine-farm project encompassing 88 manure lagoons. Roeslein will develop, install, own and operate processing facilities to capture, purify and sell the biogas produced from the anaerobic conversion of manure. Uses Air Liquide membrane separation upgrading technology.</t>
  </si>
  <si>
    <t xml:space="preserve">Generates on-site electricity, heat and RNG through both liquid and solid state anaerobic digestion; on-site CNG fueling station. Feedstock includes food waste, FOG and biosolids. </t>
  </si>
  <si>
    <t>T&amp;K Red River Dairy (Green Gas Partners)</t>
  </si>
  <si>
    <t>4K Dairy Digester Pipeline Project is a new covered lagoon digester processing dairy manure in Tulare County, California. The project is a part of the Calgren Dairy Fuels Cluster, developed by Maas Energy Works. The Calgren Dairy Fuels Cluster has already laid four miles of pipeline and begun construction of three digesters awarded CDFA funds in late 2017--scheduled to provide the state's first pipeline diary biogas fuel by June of 2018. The methane-rich biogas from the digester will be transported via private, low-pressure pipeline to the cluster's central hub near the Calgren ethanol refinery. Once at the hub, it will be used to fuel partner and public trucks at an on-site compressed natural gas fueling station. The remainder of the gas will be injected into the adjacent SoCal Gas utility pipeline for delivery to other CNG fueling stations around the Central Valley and the state.</t>
  </si>
  <si>
    <t xml:space="preserve">Regional (multiple farms) </t>
  </si>
  <si>
    <t>Will generate pipeline quality RNG that will be sold to Duke Energy so that they satisfy state mandates put forward by the  state of North Carolina with regards to meeting specific compliance targets for swine and poultry waste.</t>
  </si>
  <si>
    <t>125,000 MWh/yr.</t>
  </si>
  <si>
    <t xml:space="preserve">Pork processing plant </t>
  </si>
  <si>
    <t>Pacific Power &amp; Light (PacifiCorp)</t>
  </si>
  <si>
    <t>About 20,000 gallons of manure form local farms and 10,000 gallons of food wastes form area processors shipped in daily. Currently produces 633kW of electricity from single generator. Electricity is used by nearby county/municipal buildings.</t>
  </si>
  <si>
    <t>Processes regional food and crop waste, grass and manure from OSU/OARDC farm operations; flagship ecoFARMsystem 550 (F550) intended for use at smaller farm facilities. Gas produced for vehicle fuel, pipeline and electricity</t>
  </si>
  <si>
    <t>Uses waste from swine farm with liquid and solid organics, food processing waste, fats, oils, greases, and biosolids to generate renewable electricity</t>
  </si>
  <si>
    <t>5000 MWh/yr.</t>
  </si>
  <si>
    <t>Uses municipal wastewater from Dodge City and  industrial wastewater from National Beef plant. Two separate anaerobic lagoons</t>
  </si>
  <si>
    <t>SAWS and other vehicles</t>
  </si>
  <si>
    <t>WWTP built with 550k capacity anaerobic digester. This project will double that capacity. Will process roughly 30 TPD of food waste from local industry, including poultry, cheese and brewing, along with roughly 18,000 gallons per day of biosolids, doubling current biogas output. As of end 2018, digester expansion complete, food waste handling well under way; final phase of construction will be gas upgrading and fueling station.  Completion end Q2 2019. RNG will be used to fuel about 19 diesel trucks converted to CNG; these trucks include both Petaluma's waste collection contractor and some City vehicles. 
Gas upgrading technology provided by Unison Solutions.</t>
  </si>
  <si>
    <r>
      <t xml:space="preserve">Note that data related to project output (e.g., RNG production, emissions reduced RIN registration) are based on </t>
    </r>
    <r>
      <rPr>
        <b/>
        <sz val="11"/>
        <color indexed="63"/>
        <rFont val="Calibri"/>
        <family val="2"/>
      </rPr>
      <t>reported</t>
    </r>
    <r>
      <rPr>
        <sz val="11"/>
        <color indexed="63"/>
        <rFont val="Calibri"/>
        <family val="2"/>
      </rPr>
      <t xml:space="preserve"> values and/or information obtained from the project contact. </t>
    </r>
  </si>
  <si>
    <t>Total Confirmed Projects</t>
  </si>
  <si>
    <t>UNCONFIRMED Operational MMBTU/yr</t>
  </si>
  <si>
    <t>UNCONFIRMED Operational GGE/yr</t>
  </si>
  <si>
    <t>Average UNCONFIRMED Operational MMBTU/yr</t>
  </si>
  <si>
    <t>Average UNCONFIRMED Operational GGE/yr</t>
  </si>
  <si>
    <t>Number of Projects</t>
  </si>
  <si>
    <t>PROJECTS CONFIRMED OPERATIONAL in Calendar 2018</t>
  </si>
  <si>
    <t>(confirmed + unconfirmed)</t>
  </si>
  <si>
    <r>
      <t>G.</t>
    </r>
    <r>
      <rPr>
        <b/>
        <sz val="7"/>
        <color indexed="63"/>
        <rFont val="Times New Roman"/>
        <family val="1"/>
      </rPr>
      <t xml:space="preserve">      </t>
    </r>
    <r>
      <rPr>
        <b/>
        <sz val="11"/>
        <color indexed="63"/>
        <rFont val="Calibri"/>
        <family val="2"/>
      </rPr>
      <t>DATABASE HIGHLIGHTS (AS OF 3/31/19)</t>
    </r>
  </si>
  <si>
    <r>
      <t xml:space="preserve">Mintz, M. and P. Voss. </t>
    </r>
    <r>
      <rPr>
        <i/>
        <sz val="11"/>
        <color indexed="8"/>
        <rFont val="Calibri"/>
        <family val="2"/>
      </rPr>
      <t xml:space="preserve">Database of Renewable Natural Gas (RNG) Projects: 2019 Update, </t>
    </r>
    <r>
      <rPr>
        <sz val="11"/>
        <color indexed="8"/>
        <rFont val="Calibri"/>
        <family val="2"/>
      </rPr>
      <t xml:space="preserve">Argonne National Laboratory, October 2019, https://www.anl.gov/es/reference/renewable-natural-gas-database.  </t>
    </r>
    <r>
      <rPr>
        <i/>
        <sz val="11"/>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</si>
</sst>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00"/>
    <numFmt numFmtId="165" formatCode="_(* #,##0_);_(* \(#,##0\);_(* &quot;-&quot;??_);_(@_)"/>
    <numFmt numFmtId="166" formatCode="0.000"/>
    <numFmt numFmtId="167" formatCode="m/yyyy"/>
    <numFmt numFmtId="168" formatCode="[$-409]General"/>
    <numFmt numFmtId="169" formatCode="mmm\.\ yyyy"/>
    <numFmt numFmtId="170" formatCode="#,##0.000"/>
    <numFmt numFmtId="171" formatCode="mmmm\ yyyy"/>
  </numFmts>
  <fonts count="113">
    <font>
      <sz val="11"/>
      <color theme="1"/>
      <name val="Calibri"/>
      <family val="2"/>
      <scheme val="minor"/>
    </font>
    <font>
      <sz val="11"/>
      <color theme="1"/>
      <name val="Calibri"/>
      <family val="2"/>
      <scheme val="minor"/>
    </font>
    <font>
      <b/>
      <sz val="12"/>
      <color rgb="FF000000"/>
      <name val="Calibri"/>
      <family val="2"/>
    </font>
    <font>
      <b/>
      <sz val="10"/>
      <color rgb="FF000000"/>
      <name val="Calibri"/>
      <family val="2"/>
    </font>
    <font>
      <b/>
      <i/>
      <sz val="11"/>
      <color rgb="FF000000"/>
      <name val="Calibri"/>
      <family val="2"/>
    </font>
    <font>
      <b/>
      <sz val="12"/>
      <name val="Calibri"/>
      <family val="2"/>
      <scheme val="minor"/>
    </font>
    <font>
      <b/>
      <sz val="9"/>
      <name val="Calibri"/>
      <family val="2"/>
      <scheme val="minor"/>
    </font>
    <font>
      <b/>
      <sz val="7"/>
      <name val="Calibri"/>
      <family val="2"/>
      <scheme val="minor"/>
    </font>
    <font>
      <b/>
      <sz val="7"/>
      <name val="Arial"/>
      <family val="2"/>
    </font>
    <font>
      <sz val="7"/>
      <name val="Arial"/>
      <family val="2"/>
    </font>
    <font>
      <sz val="7"/>
      <color rgb="FF000000"/>
      <name val="Calibri"/>
      <family val="2"/>
    </font>
    <font>
      <sz val="7"/>
      <name val="Calibri"/>
      <family val="2"/>
      <scheme val="minor"/>
    </font>
    <font>
      <sz val="11"/>
      <color rgb="FF000000"/>
      <name val="Calibri"/>
      <family val="2"/>
    </font>
    <font>
      <b/>
      <sz val="8"/>
      <name val="Calibri"/>
      <family val="2"/>
      <scheme val="minor"/>
    </font>
    <font>
      <sz val="7"/>
      <color rgb="FF000000"/>
      <name val="Calibri"/>
      <family val="2"/>
      <scheme val="minor"/>
    </font>
    <font>
      <b/>
      <i/>
      <sz val="7"/>
      <name val="Calibri"/>
      <family val="2"/>
      <scheme val="minor"/>
    </font>
    <font>
      <b/>
      <sz val="8"/>
      <color rgb="FF000000"/>
      <name val="Calibri"/>
      <family val="2"/>
    </font>
    <font>
      <b/>
      <sz val="8"/>
      <color rgb="FF000000"/>
      <name val="Calibri"/>
      <family val="2"/>
      <scheme val="minor"/>
    </font>
    <font>
      <sz val="11"/>
      <name val="Calibri"/>
      <family val="2"/>
      <scheme val="minor"/>
    </font>
    <font>
      <u/>
      <sz val="7"/>
      <color rgb="FF0000FF"/>
      <name val="Calibri"/>
      <family val="2"/>
      <scheme val="minor"/>
    </font>
    <font>
      <sz val="11"/>
      <color rgb="FF000000"/>
      <name val="Calibri"/>
      <family val="2"/>
      <scheme val="minor"/>
    </font>
    <font>
      <sz val="8"/>
      <name val="Calibri"/>
      <family val="2"/>
      <scheme val="minor"/>
    </font>
    <font>
      <b/>
      <i/>
      <sz val="12"/>
      <name val="Calibri"/>
      <family val="2"/>
      <scheme val="minor"/>
    </font>
    <font>
      <sz val="11"/>
      <name val="Arial"/>
      <family val="2"/>
    </font>
    <font>
      <b/>
      <sz val="14"/>
      <name val="Calibri"/>
      <family val="2"/>
      <scheme val="minor"/>
    </font>
    <font>
      <b/>
      <sz val="11"/>
      <name val="Calibri"/>
      <family val="2"/>
    </font>
    <font>
      <sz val="10"/>
      <name val="Arial"/>
      <family val="2"/>
    </font>
    <font>
      <sz val="8"/>
      <name val="Calibri"/>
      <family val="2"/>
    </font>
    <font>
      <sz val="10"/>
      <name val="Calibri"/>
      <family val="2"/>
      <scheme val="minor"/>
    </font>
    <font>
      <b/>
      <i/>
      <sz val="11"/>
      <name val="Calibri"/>
      <family val="2"/>
    </font>
    <font>
      <i/>
      <sz val="10"/>
      <name val="Calibri"/>
      <family val="2"/>
      <scheme val="minor"/>
    </font>
    <font>
      <b/>
      <sz val="11"/>
      <color rgb="FF000000"/>
      <name val="Calibri"/>
      <family val="2"/>
    </font>
    <font>
      <sz val="10"/>
      <color rgb="FF000000"/>
      <name val="Inconsolata"/>
    </font>
    <font>
      <sz val="7"/>
      <name val="Calibri"/>
      <family val="2"/>
    </font>
    <font>
      <b/>
      <sz val="7"/>
      <name val="Calibri"/>
      <family val="2"/>
    </font>
    <font>
      <b/>
      <sz val="8"/>
      <name val="Calibri"/>
      <family val="2"/>
    </font>
    <font>
      <sz val="7"/>
      <color rgb="FFFF0000"/>
      <name val="Calibri"/>
      <family val="2"/>
    </font>
    <font>
      <sz val="11"/>
      <name val="Calibri"/>
      <family val="2"/>
    </font>
    <font>
      <b/>
      <sz val="9"/>
      <name val="Calibri"/>
      <family val="2"/>
    </font>
    <font>
      <b/>
      <sz val="12"/>
      <name val="Calibri"/>
      <family val="2"/>
    </font>
    <font>
      <u/>
      <sz val="7"/>
      <color rgb="FF0000FF"/>
      <name val="Calibri"/>
      <family val="2"/>
    </font>
    <font>
      <b/>
      <i/>
      <sz val="12"/>
      <color rgb="FF000000"/>
      <name val="Calibri"/>
      <family val="2"/>
    </font>
    <font>
      <sz val="14"/>
      <color rgb="FF000000"/>
      <name val="Calibri"/>
      <family val="2"/>
    </font>
    <font>
      <sz val="14"/>
      <name val="Arial"/>
      <family val="2"/>
    </font>
    <font>
      <i/>
      <sz val="10"/>
      <name val="Arial"/>
      <family val="2"/>
    </font>
    <font>
      <b/>
      <sz val="12"/>
      <color rgb="FF000000"/>
      <name val="Calibri"/>
      <family val="2"/>
      <scheme val="minor"/>
    </font>
    <font>
      <vertAlign val="subscript"/>
      <sz val="7"/>
      <name val="Calibri"/>
      <family val="2"/>
      <scheme val="minor"/>
    </font>
    <font>
      <b/>
      <sz val="7"/>
      <color rgb="FF000000"/>
      <name val="Calibri"/>
      <family val="2"/>
      <scheme val="minor"/>
    </font>
    <font>
      <u/>
      <sz val="7"/>
      <color rgb="FF000000"/>
      <name val="Calibri"/>
      <family val="2"/>
      <scheme val="minor"/>
    </font>
    <font>
      <sz val="7"/>
      <color rgb="FF464646"/>
      <name val="Calibri"/>
      <family val="2"/>
      <scheme val="minor"/>
    </font>
    <font>
      <b/>
      <sz val="14"/>
      <color rgb="FF000000"/>
      <name val="Calibri"/>
      <family val="2"/>
    </font>
    <font>
      <i/>
      <sz val="11"/>
      <color rgb="FF000000"/>
      <name val="Calibri"/>
      <family val="2"/>
    </font>
    <font>
      <u/>
      <sz val="11"/>
      <color rgb="FF0000FF"/>
      <name val="Calibri"/>
      <family val="2"/>
    </font>
    <font>
      <u/>
      <sz val="11"/>
      <color rgb="FF0000FF"/>
      <name val="Calibri"/>
      <family val="2"/>
      <scheme val="minor"/>
    </font>
    <font>
      <b/>
      <sz val="14"/>
      <name val="Calibri"/>
      <family val="2"/>
    </font>
    <font>
      <sz val="9"/>
      <name val="Arial"/>
      <family val="2"/>
    </font>
    <font>
      <i/>
      <sz val="9"/>
      <name val="Arial"/>
      <family val="2"/>
    </font>
    <font>
      <b/>
      <sz val="12"/>
      <name val="Arial"/>
      <family val="2"/>
    </font>
    <font>
      <sz val="12"/>
      <name val="Calibri"/>
      <family val="2"/>
      <scheme val="minor"/>
    </font>
    <font>
      <sz val="12"/>
      <name val="Arial"/>
      <family val="2"/>
    </font>
    <font>
      <b/>
      <sz val="10"/>
      <color rgb="FF000000"/>
      <name val="Arial"/>
      <family val="2"/>
    </font>
    <font>
      <sz val="7"/>
      <color rgb="FF000000"/>
      <name val="Arial"/>
      <family val="2"/>
    </font>
    <font>
      <b/>
      <sz val="7"/>
      <color rgb="FF000000"/>
      <name val="Arial"/>
      <family val="2"/>
    </font>
    <font>
      <sz val="9"/>
      <color rgb="FF000000"/>
      <name val="Arial"/>
      <family val="2"/>
    </font>
    <font>
      <sz val="10"/>
      <color rgb="FF000000"/>
      <name val="Arial"/>
      <family val="2"/>
    </font>
    <font>
      <b/>
      <sz val="11"/>
      <color theme="1"/>
      <name val="Calibri"/>
      <family val="2"/>
      <scheme val="minor"/>
    </font>
    <font>
      <sz val="9"/>
      <color rgb="FF000000"/>
      <name val="Calibri"/>
      <family val="2"/>
    </font>
    <font>
      <sz val="7"/>
      <color theme="1"/>
      <name val="Calibri"/>
      <family val="2"/>
      <scheme val="minor"/>
    </font>
    <font>
      <b/>
      <sz val="7"/>
      <color theme="1"/>
      <name val="Calibri"/>
      <family val="2"/>
      <scheme val="minor"/>
    </font>
    <font>
      <sz val="7"/>
      <color rgb="FFFF0000"/>
      <name val="Calibri"/>
      <family val="2"/>
      <scheme val="minor"/>
    </font>
    <font>
      <sz val="8"/>
      <color theme="1"/>
      <name val="Calibri"/>
      <family val="2"/>
      <scheme val="minor"/>
    </font>
    <font>
      <b/>
      <sz val="8"/>
      <color theme="1"/>
      <name val="Calibri"/>
      <family val="2"/>
      <scheme val="minor"/>
    </font>
    <font>
      <sz val="8"/>
      <color rgb="FF002060"/>
      <name val="Calibri"/>
      <family val="2"/>
      <scheme val="minor"/>
    </font>
    <font>
      <i/>
      <sz val="10"/>
      <color rgb="FFFF0000"/>
      <name val="Calibri"/>
      <family val="2"/>
      <scheme val="minor"/>
    </font>
    <font>
      <b/>
      <sz val="7"/>
      <color rgb="FFFF0000"/>
      <name val="Calibri"/>
      <family val="2"/>
      <scheme val="minor"/>
    </font>
    <font>
      <u/>
      <sz val="11"/>
      <color theme="10"/>
      <name val="Calibri"/>
      <family val="2"/>
    </font>
    <font>
      <b/>
      <i/>
      <sz val="11"/>
      <name val="Calibri"/>
      <family val="2"/>
      <scheme val="minor"/>
    </font>
    <font>
      <i/>
      <sz val="11"/>
      <name val="Calibri"/>
      <family val="2"/>
      <scheme val="minor"/>
    </font>
    <font>
      <sz val="10"/>
      <color theme="1"/>
      <name val="Calibri"/>
      <family val="2"/>
      <scheme val="minor"/>
    </font>
    <font>
      <sz val="9"/>
      <name val="Calibri"/>
      <family val="2"/>
      <scheme val="minor"/>
    </font>
    <font>
      <sz val="9"/>
      <color rgb="FF000000"/>
      <name val="Calibri"/>
      <family val="2"/>
      <scheme val="minor"/>
    </font>
    <font>
      <sz val="9"/>
      <name val="Calibri"/>
      <family val="2"/>
    </font>
    <font>
      <b/>
      <sz val="12"/>
      <color theme="1"/>
      <name val="Calibri"/>
      <family val="2"/>
      <scheme val="minor"/>
    </font>
    <font>
      <b/>
      <sz val="14"/>
      <color rgb="FFFF0000"/>
      <name val="Calibri"/>
      <family val="2"/>
    </font>
    <font>
      <b/>
      <sz val="13"/>
      <name val="Calibri"/>
      <family val="2"/>
      <scheme val="minor"/>
    </font>
    <font>
      <b/>
      <sz val="14"/>
      <color rgb="FFFF0000"/>
      <name val="Calibri"/>
      <family val="2"/>
      <scheme val="minor"/>
    </font>
    <font>
      <b/>
      <i/>
      <sz val="12"/>
      <color rgb="FFFF0000"/>
      <name val="Calibri"/>
      <family val="2"/>
    </font>
    <font>
      <b/>
      <i/>
      <sz val="12"/>
      <name val="Calibri"/>
      <family val="2"/>
    </font>
    <font>
      <b/>
      <sz val="14"/>
      <color theme="1"/>
      <name val="Calibri"/>
      <family val="2"/>
      <scheme val="minor"/>
    </font>
    <font>
      <b/>
      <sz val="13"/>
      <name val="Calibri"/>
      <family val="2"/>
    </font>
    <font>
      <b/>
      <sz val="13"/>
      <color theme="1"/>
      <name val="Calibri"/>
      <family val="2"/>
      <scheme val="minor"/>
    </font>
    <font>
      <b/>
      <sz val="13"/>
      <color rgb="FF000000"/>
      <name val="Calibri"/>
      <family val="2"/>
    </font>
    <font>
      <sz val="12"/>
      <color theme="1"/>
      <name val="Calibri"/>
      <family val="2"/>
      <scheme val="minor"/>
    </font>
    <font>
      <sz val="11"/>
      <color rgb="FF000000"/>
      <name val="Calibri"/>
      <family val="2"/>
    </font>
    <font>
      <b/>
      <sz val="13"/>
      <color rgb="FF222222"/>
      <name val="Calibri"/>
      <family val="2"/>
    </font>
    <font>
      <b/>
      <sz val="11"/>
      <color rgb="FF222222"/>
      <name val="Calibri"/>
      <family val="2"/>
    </font>
    <font>
      <b/>
      <sz val="7"/>
      <color indexed="63"/>
      <name val="Times New Roman"/>
      <family val="1"/>
    </font>
    <font>
      <b/>
      <sz val="11"/>
      <color indexed="63"/>
      <name val="Calibri"/>
      <family val="2"/>
    </font>
    <font>
      <sz val="11"/>
      <color rgb="FF222222"/>
      <name val="Calibri"/>
      <family val="2"/>
    </font>
    <font>
      <sz val="11"/>
      <color indexed="63"/>
      <name val="Calibri"/>
      <family val="2"/>
    </font>
    <font>
      <sz val="7"/>
      <color indexed="63"/>
      <name val="Times New Roman"/>
      <family val="1"/>
    </font>
    <font>
      <b/>
      <i/>
      <sz val="11"/>
      <color rgb="FF222222"/>
      <name val="Calibri"/>
      <family val="2"/>
    </font>
    <font>
      <b/>
      <i/>
      <sz val="11"/>
      <color indexed="63"/>
      <name val="Calibri"/>
      <family val="2"/>
    </font>
    <font>
      <i/>
      <sz val="11"/>
      <color rgb="FF222222"/>
      <name val="Calibri"/>
      <family val="2"/>
    </font>
    <font>
      <b/>
      <i/>
      <sz val="7"/>
      <color indexed="63"/>
      <name val="Times New Roman"/>
      <family val="1"/>
    </font>
    <font>
      <sz val="11"/>
      <color rgb="FF222222"/>
      <name val="Symbol"/>
      <family val="1"/>
      <charset val="2"/>
    </font>
    <font>
      <i/>
      <sz val="11"/>
      <color indexed="63"/>
      <name val="Calibri"/>
      <family val="2"/>
    </font>
    <font>
      <b/>
      <sz val="11"/>
      <color indexed="63"/>
      <name val="Times New Roman"/>
      <family val="1"/>
    </font>
    <font>
      <b/>
      <sz val="11"/>
      <color indexed="8"/>
      <name val="Calibri"/>
      <family val="2"/>
    </font>
    <font>
      <i/>
      <sz val="11"/>
      <color indexed="8"/>
      <name val="Calibri"/>
      <family val="2"/>
    </font>
    <font>
      <sz val="11"/>
      <color indexed="8"/>
      <name val="Calibri"/>
      <family val="2"/>
    </font>
    <font>
      <u/>
      <sz val="11"/>
      <color theme="10"/>
      <name val="Calibri"/>
      <family val="2"/>
    </font>
    <font>
      <b/>
      <sz val="11"/>
      <name val="Arial"/>
      <family val="2"/>
    </font>
  </fonts>
  <fills count="10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DAEEF3"/>
        <bgColor rgb="FFDAEEF3"/>
      </patternFill>
    </fill>
    <fill>
      <patternFill patternType="solid">
        <fgColor theme="4" tint="0.79998168889431442"/>
        <bgColor rgb="FFE5DFEC"/>
      </patternFill>
    </fill>
    <fill>
      <patternFill patternType="solid">
        <fgColor theme="4" tint="0.79998168889431442"/>
        <bgColor rgb="FFEAF1DD"/>
      </patternFill>
    </fill>
    <fill>
      <patternFill patternType="solid">
        <fgColor theme="4" tint="0.79998168889431442"/>
        <bgColor rgb="FFF2DBDB"/>
      </patternFill>
    </fill>
    <fill>
      <patternFill patternType="solid">
        <fgColor theme="4" tint="0.79998168889431442"/>
        <bgColor rgb="FFFDE9D9"/>
      </patternFill>
    </fill>
    <fill>
      <patternFill patternType="solid">
        <fgColor theme="4" tint="0.79998168889431442"/>
        <bgColor rgb="FFDDD9C3"/>
      </patternFill>
    </fill>
    <fill>
      <patternFill patternType="solid">
        <fgColor theme="4" tint="0.79998168889431442"/>
        <bgColor rgb="FFC6D9F0"/>
      </patternFill>
    </fill>
    <fill>
      <patternFill patternType="solid">
        <fgColor theme="4" tint="0.79998168889431442"/>
        <bgColor rgb="FFFFFF99"/>
      </patternFill>
    </fill>
    <fill>
      <patternFill patternType="solid">
        <fgColor theme="4" tint="0.79998168889431442"/>
        <bgColor rgb="FFDAEEF3"/>
      </patternFill>
    </fill>
    <fill>
      <patternFill patternType="solid">
        <fgColor rgb="FFFFFF00"/>
        <bgColor rgb="FFFFFFFF"/>
      </patternFill>
    </fill>
    <fill>
      <patternFill patternType="solid">
        <fgColor rgb="FFFFFF00"/>
        <bgColor rgb="FF6FA8DC"/>
      </patternFill>
    </fill>
    <fill>
      <patternFill patternType="solid">
        <fgColor rgb="FF92D050"/>
        <bgColor rgb="FF6FA8DC"/>
      </patternFill>
    </fill>
    <fill>
      <patternFill patternType="solid">
        <fgColor rgb="FF00B0F0"/>
        <bgColor rgb="FF6FA8DC"/>
      </patternFill>
    </fill>
    <fill>
      <patternFill patternType="solid">
        <fgColor theme="0"/>
        <bgColor indexed="64"/>
      </patternFill>
    </fill>
    <fill>
      <patternFill patternType="solid">
        <fgColor theme="0"/>
        <bgColor rgb="FFFFFFFF"/>
      </patternFill>
    </fill>
    <fill>
      <patternFill patternType="solid">
        <fgColor theme="0" tint="-0.14999847407452621"/>
        <bgColor rgb="FFFFFFFF"/>
      </patternFill>
    </fill>
    <fill>
      <patternFill patternType="solid">
        <fgColor theme="2" tint="-9.9978637043366805E-2"/>
        <bgColor rgb="FFFFFFFF"/>
      </patternFill>
    </fill>
    <fill>
      <patternFill patternType="solid">
        <fgColor rgb="FFFFFF99"/>
        <bgColor rgb="FFFFFFFF"/>
      </patternFill>
    </fill>
    <fill>
      <patternFill patternType="solid">
        <fgColor theme="0"/>
        <bgColor rgb="FF6FA8DC"/>
      </patternFill>
    </fill>
    <fill>
      <patternFill patternType="solid">
        <fgColor rgb="FFFFFF00"/>
        <bgColor rgb="FFDAEEF3"/>
      </patternFill>
    </fill>
    <fill>
      <patternFill patternType="solid">
        <fgColor rgb="FFFFFF00"/>
        <bgColor rgb="FFE5DFEC"/>
      </patternFill>
    </fill>
    <fill>
      <patternFill patternType="solid">
        <fgColor rgb="FFFFFF00"/>
        <bgColor rgb="FFEAF1DD"/>
      </patternFill>
    </fill>
    <fill>
      <patternFill patternType="solid">
        <fgColor rgb="FFFFFF00"/>
        <bgColor rgb="FFF2DBDB"/>
      </patternFill>
    </fill>
    <fill>
      <patternFill patternType="solid">
        <fgColor rgb="FFFFFF00"/>
        <bgColor rgb="FFFDE9D9"/>
      </patternFill>
    </fill>
    <fill>
      <patternFill patternType="solid">
        <fgColor rgb="FFFFFF00"/>
        <bgColor rgb="FFDDD9C3"/>
      </patternFill>
    </fill>
    <fill>
      <patternFill patternType="solid">
        <fgColor rgb="FFFFFF00"/>
        <bgColor rgb="FFC6D9F0"/>
      </patternFill>
    </fill>
    <fill>
      <patternFill patternType="solid">
        <fgColor rgb="FFFFFF00"/>
        <bgColor rgb="FFFFFF99"/>
      </patternFill>
    </fill>
    <fill>
      <patternFill patternType="solid">
        <fgColor rgb="FFFFFFFF"/>
        <bgColor rgb="FFFFFFFF"/>
      </patternFill>
    </fill>
    <fill>
      <patternFill patternType="solid">
        <fgColor theme="2" tint="-9.9978637043366805E-2"/>
        <bgColor rgb="FFFDE9D9"/>
      </patternFill>
    </fill>
    <fill>
      <patternFill patternType="solid">
        <fgColor rgb="FF00B0F0"/>
        <bgColor rgb="FFFDE9D9"/>
      </patternFill>
    </fill>
    <fill>
      <patternFill patternType="solid">
        <fgColor rgb="FF92D050"/>
        <bgColor rgb="FFFDE9D9"/>
      </patternFill>
    </fill>
    <fill>
      <patternFill patternType="solid">
        <fgColor theme="5" tint="0.39997558519241921"/>
        <bgColor rgb="FFFFFFFF"/>
      </patternFill>
    </fill>
    <fill>
      <patternFill patternType="solid">
        <fgColor rgb="FF92D050"/>
        <bgColor rgb="FFFFFFFF"/>
      </patternFill>
    </fill>
    <fill>
      <patternFill patternType="solid">
        <fgColor theme="4" tint="0.79998168889431442"/>
        <bgColor indexed="64"/>
      </patternFill>
    </fill>
    <fill>
      <patternFill patternType="solid">
        <fgColor theme="0"/>
        <bgColor rgb="FFFFFF99"/>
      </patternFill>
    </fill>
    <fill>
      <patternFill patternType="solid">
        <fgColor rgb="FF00B0F0"/>
        <bgColor rgb="FFFFFFFF"/>
      </patternFill>
    </fill>
    <fill>
      <patternFill patternType="solid">
        <fgColor rgb="FFFFFF99"/>
        <bgColor rgb="FF6FA8DC"/>
      </patternFill>
    </fill>
    <fill>
      <patternFill patternType="solid">
        <fgColor theme="2" tint="-9.9978637043366805E-2"/>
        <bgColor rgb="FF6FA8DC"/>
      </patternFill>
    </fill>
    <fill>
      <patternFill patternType="solid">
        <fgColor theme="0" tint="-0.14999847407452621"/>
        <bgColor rgb="FF6FA8DC"/>
      </patternFill>
    </fill>
    <fill>
      <patternFill patternType="solid">
        <fgColor theme="0" tint="-0.499984740745262"/>
        <bgColor rgb="FFFFFF99"/>
      </patternFill>
    </fill>
    <fill>
      <patternFill patternType="solid">
        <fgColor theme="0" tint="-0.499984740745262"/>
        <bgColor rgb="FFDAEEF3"/>
      </patternFill>
    </fill>
    <fill>
      <patternFill patternType="solid">
        <fgColor theme="0" tint="-0.499984740745262"/>
        <bgColor rgb="FFE5DFEC"/>
      </patternFill>
    </fill>
    <fill>
      <patternFill patternType="solid">
        <fgColor theme="0" tint="-0.499984740745262"/>
        <bgColor rgb="FFEAF1DD"/>
      </patternFill>
    </fill>
    <fill>
      <patternFill patternType="solid">
        <fgColor theme="0" tint="-0.499984740745262"/>
        <bgColor rgb="FFF2DBDB"/>
      </patternFill>
    </fill>
    <fill>
      <patternFill patternType="solid">
        <fgColor theme="0" tint="-0.499984740745262"/>
        <bgColor rgb="FFFDE9D9"/>
      </patternFill>
    </fill>
    <fill>
      <patternFill patternType="solid">
        <fgColor theme="0" tint="-0.499984740745262"/>
        <bgColor rgb="FFDDD9C3"/>
      </patternFill>
    </fill>
    <fill>
      <patternFill patternType="solid">
        <fgColor theme="0" tint="-0.499984740745262"/>
        <bgColor rgb="FFC6D9F0"/>
      </patternFill>
    </fill>
    <fill>
      <patternFill patternType="solid">
        <fgColor theme="0" tint="-0.499984740745262"/>
        <bgColor indexed="64"/>
      </patternFill>
    </fill>
    <fill>
      <patternFill patternType="solid">
        <fgColor theme="0" tint="-0.499984740745262"/>
        <bgColor rgb="FFFFFFFF"/>
      </patternFill>
    </fill>
    <fill>
      <patternFill patternType="solid">
        <fgColor theme="0"/>
        <bgColor rgb="FFDAEEF3"/>
      </patternFill>
    </fill>
    <fill>
      <patternFill patternType="solid">
        <fgColor theme="0"/>
        <bgColor rgb="FF92CDDC"/>
      </patternFill>
    </fill>
    <fill>
      <patternFill patternType="solid">
        <fgColor theme="0"/>
        <bgColor rgb="FFFDE9D9"/>
      </patternFill>
    </fill>
    <fill>
      <patternFill patternType="solid">
        <fgColor theme="0"/>
        <bgColor theme="0"/>
      </patternFill>
    </fill>
    <fill>
      <patternFill patternType="solid">
        <fgColor rgb="FFFFFF00"/>
        <bgColor theme="0"/>
      </patternFill>
    </fill>
    <fill>
      <patternFill patternType="solid">
        <fgColor rgb="FF92D050"/>
        <bgColor theme="0"/>
      </patternFill>
    </fill>
    <fill>
      <patternFill patternType="solid">
        <fgColor rgb="FF00B0F0"/>
        <bgColor theme="0"/>
      </patternFill>
    </fill>
    <fill>
      <patternFill patternType="solid">
        <fgColor theme="4" tint="0.79998168889431442"/>
        <bgColor rgb="FF6FA8DC"/>
      </patternFill>
    </fill>
    <fill>
      <patternFill patternType="solid">
        <fgColor theme="0" tint="-0.499984740745262"/>
        <bgColor rgb="FF6FA8DC"/>
      </patternFill>
    </fill>
    <fill>
      <patternFill patternType="solid">
        <fgColor theme="4" tint="0.79998168889431442"/>
        <bgColor rgb="FFFFFFFF"/>
      </patternFill>
    </fill>
    <fill>
      <patternFill patternType="solid">
        <fgColor theme="0" tint="-0.34998626667073579"/>
        <bgColor indexed="64"/>
      </patternFill>
    </fill>
    <fill>
      <patternFill patternType="solid">
        <fgColor theme="0" tint="-0.34998626667073579"/>
        <bgColor rgb="FFFFFFFF"/>
      </patternFill>
    </fill>
    <fill>
      <patternFill patternType="solid">
        <fgColor theme="9" tint="0.79998168889431442"/>
        <bgColor rgb="FFFFFFFF"/>
      </patternFill>
    </fill>
    <fill>
      <patternFill patternType="solid">
        <fgColor theme="0" tint="-0.14999847407452621"/>
        <bgColor theme="0"/>
      </patternFill>
    </fill>
    <fill>
      <patternFill patternType="solid">
        <fgColor indexed="65"/>
        <bgColor theme="0"/>
      </patternFill>
    </fill>
    <fill>
      <patternFill patternType="solid">
        <fgColor rgb="FFFFFFFF"/>
        <bgColor theme="0"/>
      </patternFill>
    </fill>
    <fill>
      <patternFill patternType="solid">
        <fgColor theme="2" tint="-9.9978637043366805E-2"/>
        <bgColor theme="0"/>
      </patternFill>
    </fill>
    <fill>
      <patternFill patternType="solid">
        <fgColor theme="3" tint="0.79998168889431442"/>
        <bgColor theme="0"/>
      </patternFill>
    </fill>
    <fill>
      <patternFill patternType="solid">
        <fgColor rgb="FFFFFF99"/>
        <bgColor theme="0"/>
      </patternFill>
    </fill>
    <fill>
      <patternFill patternType="solid">
        <fgColor theme="4" tint="0.79998168889431442"/>
        <bgColor theme="0"/>
      </patternFill>
    </fill>
    <fill>
      <patternFill patternType="solid">
        <fgColor theme="0" tint="-0.499984740745262"/>
        <bgColor theme="0"/>
      </patternFill>
    </fill>
    <fill>
      <patternFill patternType="solid">
        <fgColor theme="9" tint="0.79998168889431442"/>
        <bgColor rgb="FFB6DDE8"/>
      </patternFill>
    </fill>
    <fill>
      <patternFill patternType="solid">
        <fgColor theme="9" tint="0.79998168889431442"/>
        <bgColor rgb="FFD6E3BC"/>
      </patternFill>
    </fill>
    <fill>
      <patternFill patternType="solid">
        <fgColor theme="0"/>
        <bgColor rgb="FFE5DFEC"/>
      </patternFill>
    </fill>
    <fill>
      <patternFill patternType="solid">
        <fgColor theme="0"/>
        <bgColor rgb="FFEAF1DD"/>
      </patternFill>
    </fill>
    <fill>
      <patternFill patternType="solid">
        <fgColor theme="0"/>
        <bgColor rgb="FFF2DBDB"/>
      </patternFill>
    </fill>
    <fill>
      <patternFill patternType="solid">
        <fgColor theme="0"/>
        <bgColor rgb="FFDDD9C3"/>
      </patternFill>
    </fill>
    <fill>
      <patternFill patternType="solid">
        <fgColor rgb="FF92D050"/>
        <bgColor rgb="FFF2DBDB"/>
      </patternFill>
    </fill>
    <fill>
      <patternFill patternType="solid">
        <fgColor rgb="FF00B0F0"/>
        <bgColor rgb="FFF2DBDB"/>
      </patternFill>
    </fill>
    <fill>
      <patternFill patternType="solid">
        <fgColor theme="4" tint="0.79998168889431442"/>
        <bgColor rgb="FFF2F2F2"/>
      </patternFill>
    </fill>
    <fill>
      <patternFill patternType="solid">
        <fgColor theme="0"/>
        <bgColor rgb="FFF2F2F2"/>
      </patternFill>
    </fill>
    <fill>
      <patternFill patternType="solid">
        <fgColor theme="0" tint="-0.499984740745262"/>
        <bgColor rgb="FFF2F2F2"/>
      </patternFill>
    </fill>
    <fill>
      <patternFill patternType="solid">
        <fgColor theme="9" tint="0.59999389629810485"/>
        <bgColor indexed="64"/>
      </patternFill>
    </fill>
    <fill>
      <patternFill patternType="solid">
        <fgColor theme="9" tint="0.59999389629810485"/>
        <bgColor theme="0"/>
      </patternFill>
    </fill>
    <fill>
      <patternFill patternType="solid">
        <fgColor theme="2"/>
        <bgColor theme="0"/>
      </patternFill>
    </fill>
    <fill>
      <patternFill patternType="solid">
        <fgColor theme="0" tint="-0.14999847407452621"/>
        <bgColor indexed="64"/>
      </patternFill>
    </fill>
    <fill>
      <patternFill patternType="solid">
        <fgColor rgb="FF92D050"/>
        <bgColor rgb="FFEAF1DD"/>
      </patternFill>
    </fill>
    <fill>
      <patternFill patternType="solid">
        <fgColor theme="7" tint="0.39997558519241921"/>
        <bgColor rgb="FFFDE9D9"/>
      </patternFill>
    </fill>
    <fill>
      <patternFill patternType="solid">
        <fgColor theme="7" tint="0.39997558519241921"/>
        <bgColor rgb="FFF2F2F2"/>
      </patternFill>
    </fill>
    <fill>
      <patternFill patternType="solid">
        <fgColor theme="7" tint="0.39997558519241921"/>
        <bgColor indexed="64"/>
      </patternFill>
    </fill>
    <fill>
      <patternFill patternType="solid">
        <fgColor theme="0" tint="-0.249977111117893"/>
        <bgColor theme="0"/>
      </patternFill>
    </fill>
    <fill>
      <patternFill patternType="solid">
        <fgColor theme="5" tint="0.39997558519241921"/>
        <bgColor rgb="FF6FA8DC"/>
      </patternFill>
    </fill>
    <fill>
      <patternFill patternType="solid">
        <fgColor theme="5" tint="0.39997558519241921"/>
        <bgColor rgb="FF92CDDC"/>
      </patternFill>
    </fill>
    <fill>
      <patternFill patternType="lightUp">
        <bgColor theme="0"/>
      </patternFill>
    </fill>
    <fill>
      <patternFill patternType="lightUp"/>
    </fill>
    <fill>
      <patternFill patternType="solid">
        <fgColor rgb="FFFFFFCC"/>
        <bgColor indexed="64"/>
      </patternFill>
    </fill>
    <fill>
      <patternFill patternType="solid">
        <fgColor rgb="FF92D050"/>
        <bgColor rgb="FFDDD9C3"/>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top/>
      <bottom/>
      <diagonal/>
    </border>
    <border>
      <left style="thin">
        <color indexed="64"/>
      </left>
      <right style="thin">
        <color indexed="64"/>
      </right>
      <top/>
      <bottom/>
      <diagonal/>
    </border>
    <border>
      <left style="thin">
        <color rgb="FF000000"/>
      </left>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rgb="FF000000"/>
      </left>
      <right style="thin">
        <color rgb="FF000000"/>
      </right>
      <top style="thin">
        <color indexed="64"/>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s>
  <cellStyleXfs count="14">
    <xf numFmtId="0" fontId="0" fillId="0" borderId="0"/>
    <xf numFmtId="0" fontId="1" fillId="0" borderId="0"/>
    <xf numFmtId="0" fontId="12" fillId="0" borderId="0"/>
    <xf numFmtId="0" fontId="1" fillId="0" borderId="0"/>
    <xf numFmtId="0" fontId="1" fillId="0" borderId="0"/>
    <xf numFmtId="0" fontId="1" fillId="0" borderId="0"/>
    <xf numFmtId="0" fontId="12" fillId="0" borderId="0"/>
    <xf numFmtId="0" fontId="12" fillId="0" borderId="0"/>
    <xf numFmtId="43" fontId="1" fillId="0" borderId="0" applyFont="0" applyFill="0" applyBorder="0" applyAlignment="0" applyProtection="0"/>
    <xf numFmtId="43" fontId="12"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93" fillId="0" borderId="0"/>
    <xf numFmtId="0" fontId="111" fillId="0" borderId="0" applyNumberFormat="0" applyFill="0" applyBorder="0" applyAlignment="0" applyProtection="0"/>
  </cellStyleXfs>
  <cellXfs count="1701">
    <xf numFmtId="0" fontId="0" fillId="0" borderId="0" xfId="0"/>
    <xf numFmtId="0" fontId="0" fillId="0" borderId="0" xfId="0" applyFont="1" applyAlignment="1"/>
    <xf numFmtId="0" fontId="2" fillId="0" borderId="0" xfId="0" applyFont="1" applyAlignment="1">
      <alignment horizontal="right"/>
    </xf>
    <xf numFmtId="0" fontId="3" fillId="2" borderId="1" xfId="0" applyFont="1" applyFill="1" applyBorder="1" applyAlignment="1"/>
    <xf numFmtId="0" fontId="4" fillId="0" borderId="0" xfId="0" applyFont="1" applyAlignment="1"/>
    <xf numFmtId="0" fontId="0" fillId="0" borderId="0" xfId="0" applyFont="1" applyBorder="1" applyAlignment="1"/>
    <xf numFmtId="0" fontId="3" fillId="3" borderId="4" xfId="0" applyFont="1" applyFill="1" applyBorder="1" applyAlignment="1"/>
    <xf numFmtId="0" fontId="3" fillId="4" borderId="4" xfId="0" applyFont="1" applyFill="1" applyBorder="1" applyAlignment="1"/>
    <xf numFmtId="3" fontId="0" fillId="0" borderId="0" xfId="0" applyNumberFormat="1" applyFont="1" applyAlignment="1"/>
    <xf numFmtId="0" fontId="6" fillId="0" borderId="9" xfId="0" applyNumberFormat="1" applyFont="1" applyFill="1" applyBorder="1" applyAlignment="1" applyProtection="1">
      <alignment horizontal="center" wrapText="1"/>
      <protection locked="0"/>
    </xf>
    <xf numFmtId="0" fontId="11" fillId="18" borderId="18" xfId="0" applyFont="1" applyFill="1" applyBorder="1" applyAlignment="1">
      <alignment wrapText="1"/>
    </xf>
    <xf numFmtId="0" fontId="11" fillId="18" borderId="18" xfId="2" applyFont="1" applyFill="1" applyBorder="1" applyAlignment="1">
      <alignment wrapText="1"/>
    </xf>
    <xf numFmtId="0" fontId="13" fillId="18" borderId="18" xfId="2" applyFont="1" applyFill="1" applyBorder="1" applyAlignment="1">
      <alignment wrapText="1"/>
    </xf>
    <xf numFmtId="0" fontId="11" fillId="18" borderId="18" xfId="2" applyFont="1" applyFill="1" applyBorder="1" applyAlignment="1">
      <alignment horizontal="center" wrapText="1"/>
    </xf>
    <xf numFmtId="0" fontId="11" fillId="19" borderId="18" xfId="2" applyFont="1" applyFill="1" applyBorder="1" applyAlignment="1">
      <alignment wrapText="1"/>
    </xf>
    <xf numFmtId="3" fontId="11" fillId="18" borderId="18" xfId="2" applyNumberFormat="1" applyFont="1" applyFill="1" applyBorder="1" applyAlignment="1">
      <alignment wrapText="1"/>
    </xf>
    <xf numFmtId="3" fontId="11" fillId="2" borderId="18" xfId="2" applyNumberFormat="1" applyFont="1" applyFill="1" applyBorder="1" applyAlignment="1">
      <alignment wrapText="1"/>
    </xf>
    <xf numFmtId="165" fontId="14" fillId="20" borderId="18" xfId="2" applyNumberFormat="1" applyFont="1" applyFill="1" applyBorder="1" applyAlignment="1">
      <alignment horizontal="left" wrapText="1"/>
    </xf>
    <xf numFmtId="3" fontId="11" fillId="20" borderId="18" xfId="2" applyNumberFormat="1" applyFont="1" applyFill="1" applyBorder="1" applyAlignment="1">
      <alignment wrapText="1"/>
    </xf>
    <xf numFmtId="165" fontId="14" fillId="18" borderId="18" xfId="2" applyNumberFormat="1" applyFont="1" applyFill="1" applyBorder="1" applyAlignment="1">
      <alignment horizontal="left" wrapText="1"/>
    </xf>
    <xf numFmtId="165" fontId="11" fillId="18" borderId="18" xfId="2" applyNumberFormat="1" applyFont="1" applyFill="1" applyBorder="1" applyAlignment="1">
      <alignment wrapText="1"/>
    </xf>
    <xf numFmtId="0" fontId="11" fillId="18" borderId="18" xfId="2" applyFont="1" applyFill="1" applyBorder="1" applyAlignment="1">
      <alignment horizontal="right" wrapText="1"/>
    </xf>
    <xf numFmtId="0" fontId="14" fillId="18" borderId="18" xfId="2" applyFont="1" applyFill="1" applyBorder="1" applyAlignment="1">
      <alignment horizontal="left" wrapText="1"/>
    </xf>
    <xf numFmtId="0" fontId="14" fillId="19" borderId="18" xfId="2" applyFont="1" applyFill="1" applyBorder="1" applyAlignment="1">
      <alignment horizontal="left" wrapText="1"/>
    </xf>
    <xf numFmtId="0" fontId="11" fillId="18" borderId="9" xfId="2" applyFont="1" applyFill="1" applyBorder="1" applyAlignment="1">
      <alignment wrapText="1"/>
    </xf>
    <xf numFmtId="0" fontId="10" fillId="0" borderId="9" xfId="0" applyFont="1" applyBorder="1" applyAlignment="1"/>
    <xf numFmtId="0" fontId="11" fillId="22" borderId="18" xfId="0" applyFont="1" applyFill="1" applyBorder="1" applyAlignment="1">
      <alignment wrapText="1"/>
    </xf>
    <xf numFmtId="0" fontId="11" fillId="26" borderId="9" xfId="2" applyFont="1" applyFill="1" applyBorder="1" applyAlignment="1">
      <alignment wrapText="1"/>
    </xf>
    <xf numFmtId="0" fontId="11" fillId="27" borderId="9" xfId="0" applyFont="1" applyFill="1" applyBorder="1" applyAlignment="1">
      <alignment wrapText="1"/>
    </xf>
    <xf numFmtId="0" fontId="11" fillId="26" borderId="18" xfId="0" applyFont="1" applyFill="1" applyBorder="1" applyAlignment="1">
      <alignment wrapText="1"/>
    </xf>
    <xf numFmtId="0" fontId="11" fillId="26" borderId="18" xfId="2" applyFont="1" applyFill="1" applyBorder="1" applyAlignment="1">
      <alignment wrapText="1"/>
    </xf>
    <xf numFmtId="0" fontId="13" fillId="26" borderId="18" xfId="2" applyFont="1" applyFill="1" applyBorder="1" applyAlignment="1">
      <alignment wrapText="1"/>
    </xf>
    <xf numFmtId="0" fontId="11" fillId="22" borderId="18" xfId="2" applyFont="1" applyFill="1" applyBorder="1" applyAlignment="1">
      <alignment wrapText="1"/>
    </xf>
    <xf numFmtId="0" fontId="11" fillId="26" borderId="18" xfId="2" applyFont="1" applyFill="1" applyBorder="1" applyAlignment="1">
      <alignment horizontal="center" wrapText="1"/>
    </xf>
    <xf numFmtId="3" fontId="11" fillId="19" borderId="18" xfId="2" applyNumberFormat="1" applyFont="1" applyFill="1" applyBorder="1" applyAlignment="1">
      <alignment wrapText="1"/>
    </xf>
    <xf numFmtId="165" fontId="14" fillId="26" borderId="18" xfId="2" applyNumberFormat="1" applyFont="1" applyFill="1" applyBorder="1" applyAlignment="1">
      <alignment horizontal="left" wrapText="1"/>
    </xf>
    <xf numFmtId="0" fontId="14" fillId="26" borderId="18" xfId="0" applyFont="1" applyFill="1" applyBorder="1" applyAlignment="1">
      <alignment horizontal="left" wrapText="1"/>
    </xf>
    <xf numFmtId="0" fontId="11" fillId="22" borderId="9" xfId="2" applyFont="1" applyFill="1" applyBorder="1" applyAlignment="1">
      <alignment wrapText="1"/>
    </xf>
    <xf numFmtId="0" fontId="11" fillId="21" borderId="18" xfId="0" applyFont="1" applyFill="1" applyBorder="1" applyAlignment="1">
      <alignment wrapText="1"/>
    </xf>
    <xf numFmtId="0" fontId="11" fillId="21" borderId="18" xfId="2" applyFont="1" applyFill="1" applyBorder="1" applyAlignment="1">
      <alignment wrapText="1"/>
    </xf>
    <xf numFmtId="0" fontId="13" fillId="21" borderId="18" xfId="2" applyFont="1" applyFill="1" applyBorder="1" applyAlignment="1">
      <alignment wrapText="1"/>
    </xf>
    <xf numFmtId="0" fontId="11" fillId="21" borderId="18" xfId="2" applyFont="1" applyFill="1" applyBorder="1" applyAlignment="1">
      <alignment horizontal="center" wrapText="1"/>
    </xf>
    <xf numFmtId="0" fontId="11" fillId="22" borderId="18" xfId="2" applyFont="1" applyFill="1" applyBorder="1" applyAlignment="1">
      <alignment horizontal="center" wrapText="1"/>
    </xf>
    <xf numFmtId="165" fontId="11" fillId="5" borderId="18" xfId="2" applyNumberFormat="1" applyFont="1" applyFill="1" applyBorder="1" applyAlignment="1">
      <alignment wrapText="1"/>
    </xf>
    <xf numFmtId="3" fontId="11" fillId="38" borderId="18" xfId="2" applyNumberFormat="1" applyFont="1" applyFill="1" applyBorder="1" applyAlignment="1">
      <alignment wrapText="1"/>
    </xf>
    <xf numFmtId="0" fontId="14" fillId="22" borderId="18" xfId="2" applyFont="1" applyFill="1" applyBorder="1" applyAlignment="1">
      <alignment horizontal="left" wrapText="1"/>
    </xf>
    <xf numFmtId="0" fontId="11" fillId="22" borderId="18" xfId="2" applyFont="1" applyFill="1" applyBorder="1" applyAlignment="1"/>
    <xf numFmtId="0" fontId="11" fillId="22" borderId="18" xfId="2" applyFont="1" applyFill="1" applyBorder="1" applyAlignment="1">
      <alignment horizontal="center"/>
    </xf>
    <xf numFmtId="0" fontId="11" fillId="22" borderId="15" xfId="2" applyFont="1" applyFill="1" applyBorder="1" applyAlignment="1">
      <alignment wrapText="1"/>
    </xf>
    <xf numFmtId="0" fontId="11" fillId="22" borderId="14" xfId="2" applyFont="1" applyFill="1" applyBorder="1"/>
    <xf numFmtId="0" fontId="11" fillId="22" borderId="18" xfId="2" applyFont="1" applyFill="1" applyBorder="1"/>
    <xf numFmtId="0" fontId="11" fillId="22" borderId="9" xfId="0" applyFont="1" applyFill="1" applyBorder="1" applyAlignment="1">
      <alignment wrapText="1"/>
    </xf>
    <xf numFmtId="0" fontId="11" fillId="22" borderId="22" xfId="0" applyFont="1" applyFill="1" applyBorder="1" applyAlignment="1">
      <alignment wrapText="1"/>
    </xf>
    <xf numFmtId="0" fontId="13" fillId="22" borderId="9" xfId="2" applyFont="1" applyFill="1" applyBorder="1" applyAlignment="1">
      <alignment wrapText="1"/>
    </xf>
    <xf numFmtId="0" fontId="11" fillId="22" borderId="22" xfId="2" applyFont="1" applyFill="1" applyBorder="1" applyAlignment="1">
      <alignment wrapText="1"/>
    </xf>
    <xf numFmtId="0" fontId="11" fillId="22" borderId="9" xfId="2" applyFont="1" applyFill="1" applyBorder="1" applyAlignment="1">
      <alignment horizontal="center" wrapText="1"/>
    </xf>
    <xf numFmtId="0" fontId="14" fillId="22" borderId="9" xfId="2" applyFont="1" applyFill="1" applyBorder="1" applyAlignment="1">
      <alignment horizontal="right"/>
    </xf>
    <xf numFmtId="0" fontId="14" fillId="23" borderId="9" xfId="2" applyFont="1" applyFill="1" applyBorder="1" applyAlignment="1">
      <alignment wrapText="1"/>
    </xf>
    <xf numFmtId="3" fontId="11" fillId="40" borderId="9" xfId="2" applyNumberFormat="1" applyFont="1" applyFill="1" applyBorder="1" applyAlignment="1">
      <alignment wrapText="1"/>
    </xf>
    <xf numFmtId="0" fontId="14" fillId="22" borderId="9" xfId="2" applyFont="1" applyFill="1" applyBorder="1" applyAlignment="1">
      <alignment horizontal="left" wrapText="1"/>
    </xf>
    <xf numFmtId="0" fontId="11" fillId="22" borderId="9" xfId="2" applyFont="1" applyFill="1" applyBorder="1" applyAlignment="1">
      <alignment horizontal="right" wrapText="1"/>
    </xf>
    <xf numFmtId="0" fontId="14" fillId="22" borderId="9" xfId="2" applyFont="1" applyFill="1" applyBorder="1" applyAlignment="1">
      <alignment horizontal="left"/>
    </xf>
    <xf numFmtId="0" fontId="11" fillId="17" borderId="22" xfId="2" applyFont="1" applyFill="1" applyBorder="1" applyAlignment="1">
      <alignment wrapText="1"/>
    </xf>
    <xf numFmtId="17" fontId="11" fillId="18" borderId="18" xfId="2" applyNumberFormat="1" applyFont="1" applyFill="1" applyBorder="1" applyAlignment="1">
      <alignment wrapText="1"/>
    </xf>
    <xf numFmtId="0" fontId="10" fillId="2" borderId="18" xfId="0" applyFont="1" applyFill="1" applyBorder="1" applyAlignment="1"/>
    <xf numFmtId="0" fontId="11" fillId="2" borderId="9" xfId="0" applyFont="1" applyFill="1" applyBorder="1" applyAlignment="1">
      <alignment wrapText="1"/>
    </xf>
    <xf numFmtId="0" fontId="11" fillId="2" borderId="12" xfId="0" applyFont="1" applyFill="1" applyBorder="1" applyAlignment="1">
      <alignment wrapText="1"/>
    </xf>
    <xf numFmtId="0" fontId="11" fillId="18" borderId="9" xfId="0" applyFont="1" applyFill="1" applyBorder="1" applyAlignment="1">
      <alignment wrapText="1"/>
    </xf>
    <xf numFmtId="0" fontId="13" fillId="2" borderId="9" xfId="0" applyFont="1" applyFill="1" applyBorder="1" applyAlignment="1">
      <alignment wrapText="1"/>
    </xf>
    <xf numFmtId="0" fontId="11" fillId="2" borderId="9" xfId="0" applyFont="1" applyFill="1" applyBorder="1" applyAlignment="1">
      <alignment horizontal="center" wrapText="1"/>
    </xf>
    <xf numFmtId="3" fontId="14" fillId="2" borderId="9" xfId="0" applyNumberFormat="1" applyFont="1" applyFill="1" applyBorder="1" applyAlignment="1">
      <alignment horizontal="right"/>
    </xf>
    <xf numFmtId="3" fontId="11" fillId="2" borderId="9" xfId="0" applyNumberFormat="1" applyFont="1" applyFill="1" applyBorder="1" applyAlignment="1">
      <alignment wrapText="1"/>
    </xf>
    <xf numFmtId="3" fontId="14" fillId="21" borderId="9" xfId="0" applyNumberFormat="1" applyFont="1" applyFill="1" applyBorder="1" applyAlignment="1">
      <alignment horizontal="right"/>
    </xf>
    <xf numFmtId="0" fontId="11" fillId="26" borderId="9" xfId="0" applyFont="1" applyFill="1" applyBorder="1" applyAlignment="1">
      <alignment wrapText="1"/>
    </xf>
    <xf numFmtId="0" fontId="11" fillId="26" borderId="22" xfId="0" applyFont="1" applyFill="1" applyBorder="1" applyAlignment="1">
      <alignment wrapText="1"/>
    </xf>
    <xf numFmtId="0" fontId="14" fillId="26" borderId="9" xfId="2" applyFont="1" applyFill="1" applyBorder="1" applyAlignment="1">
      <alignment horizontal="left" wrapText="1"/>
    </xf>
    <xf numFmtId="3" fontId="11" fillId="26" borderId="9" xfId="2" applyNumberFormat="1" applyFont="1" applyFill="1" applyBorder="1" applyAlignment="1">
      <alignment wrapText="1"/>
    </xf>
    <xf numFmtId="0" fontId="13" fillId="26" borderId="9" xfId="2" applyFont="1" applyFill="1" applyBorder="1" applyAlignment="1">
      <alignment wrapText="1"/>
    </xf>
    <xf numFmtId="0" fontId="11" fillId="26" borderId="9" xfId="2" applyFont="1" applyFill="1" applyBorder="1" applyAlignment="1">
      <alignment horizontal="center" wrapText="1"/>
    </xf>
    <xf numFmtId="0" fontId="11" fillId="26" borderId="12" xfId="2" applyFont="1" applyFill="1" applyBorder="1" applyAlignment="1">
      <alignment wrapText="1"/>
    </xf>
    <xf numFmtId="3" fontId="11" fillId="19" borderId="9" xfId="2" applyNumberFormat="1" applyFont="1" applyFill="1" applyBorder="1" applyAlignment="1">
      <alignment wrapText="1"/>
    </xf>
    <xf numFmtId="165" fontId="14" fillId="26" borderId="9" xfId="2" applyNumberFormat="1" applyFont="1" applyFill="1" applyBorder="1" applyAlignment="1">
      <alignment horizontal="left" wrapText="1"/>
    </xf>
    <xf numFmtId="0" fontId="14" fillId="26" borderId="9" xfId="0" applyFont="1" applyFill="1" applyBorder="1" applyAlignment="1">
      <alignment horizontal="left" wrapText="1"/>
    </xf>
    <xf numFmtId="165" fontId="11" fillId="26" borderId="9" xfId="2" applyNumberFormat="1" applyFont="1" applyFill="1" applyBorder="1" applyAlignment="1">
      <alignment wrapText="1"/>
    </xf>
    <xf numFmtId="0" fontId="11" fillId="26" borderId="9" xfId="2" applyFont="1" applyFill="1" applyBorder="1" applyAlignment="1">
      <alignment horizontal="right" wrapText="1"/>
    </xf>
    <xf numFmtId="0" fontId="13" fillId="18" borderId="9" xfId="2" applyFont="1" applyFill="1" applyBorder="1" applyAlignment="1">
      <alignment wrapText="1"/>
    </xf>
    <xf numFmtId="0" fontId="11" fillId="17" borderId="9" xfId="2" applyFont="1" applyFill="1" applyBorder="1" applyAlignment="1">
      <alignment wrapText="1"/>
    </xf>
    <xf numFmtId="3" fontId="11" fillId="20" borderId="9" xfId="2" applyNumberFormat="1" applyFont="1" applyFill="1" applyBorder="1" applyAlignment="1">
      <alignment wrapText="1"/>
    </xf>
    <xf numFmtId="0" fontId="11" fillId="18" borderId="9" xfId="2" applyFont="1" applyFill="1" applyBorder="1" applyAlignment="1">
      <alignment horizontal="right" wrapText="1"/>
    </xf>
    <xf numFmtId="165" fontId="11" fillId="18" borderId="9" xfId="2" applyNumberFormat="1" applyFont="1" applyFill="1" applyBorder="1" applyAlignment="1">
      <alignment wrapText="1"/>
    </xf>
    <xf numFmtId="0" fontId="14" fillId="18" borderId="9" xfId="2" applyFont="1" applyFill="1" applyBorder="1" applyAlignment="1">
      <alignment horizontal="left" wrapText="1"/>
    </xf>
    <xf numFmtId="3" fontId="11" fillId="26" borderId="17" xfId="2" applyNumberFormat="1" applyFont="1" applyFill="1" applyBorder="1" applyAlignment="1">
      <alignment wrapText="1"/>
    </xf>
    <xf numFmtId="0" fontId="11" fillId="26" borderId="16" xfId="0" applyFont="1" applyFill="1" applyBorder="1" applyAlignment="1">
      <alignment wrapText="1"/>
    </xf>
    <xf numFmtId="0" fontId="11" fillId="26" borderId="17" xfId="0" applyFont="1" applyFill="1" applyBorder="1" applyAlignment="1">
      <alignment wrapText="1"/>
    </xf>
    <xf numFmtId="0" fontId="11" fillId="26" borderId="17" xfId="2" applyFont="1" applyFill="1" applyBorder="1" applyAlignment="1">
      <alignment wrapText="1"/>
    </xf>
    <xf numFmtId="3" fontId="11" fillId="19" borderId="17" xfId="2" applyNumberFormat="1" applyFont="1" applyFill="1" applyBorder="1" applyAlignment="1">
      <alignment wrapText="1"/>
    </xf>
    <xf numFmtId="165" fontId="14" fillId="26" borderId="17" xfId="2" applyNumberFormat="1" applyFont="1" applyFill="1" applyBorder="1" applyAlignment="1">
      <alignment horizontal="left" wrapText="1"/>
    </xf>
    <xf numFmtId="165" fontId="11" fillId="26" borderId="17" xfId="2" applyNumberFormat="1" applyFont="1" applyFill="1" applyBorder="1" applyAlignment="1">
      <alignment wrapText="1"/>
    </xf>
    <xf numFmtId="0" fontId="11" fillId="26" borderId="17" xfId="2" applyFont="1" applyFill="1" applyBorder="1" applyAlignment="1">
      <alignment horizontal="right" wrapText="1"/>
    </xf>
    <xf numFmtId="0" fontId="14" fillId="26" borderId="17" xfId="2" applyFont="1" applyFill="1" applyBorder="1" applyAlignment="1">
      <alignment horizontal="left" wrapText="1"/>
    </xf>
    <xf numFmtId="3" fontId="11" fillId="22" borderId="18" xfId="0" applyNumberFormat="1" applyFont="1" applyFill="1" applyBorder="1" applyAlignment="1">
      <alignment wrapText="1"/>
    </xf>
    <xf numFmtId="0" fontId="19" fillId="22" borderId="18" xfId="0" applyFont="1" applyFill="1" applyBorder="1" applyAlignment="1">
      <alignment wrapText="1"/>
    </xf>
    <xf numFmtId="0" fontId="14" fillId="22" borderId="18" xfId="0" applyFont="1" applyFill="1" applyBorder="1" applyAlignment="1">
      <alignment wrapText="1"/>
    </xf>
    <xf numFmtId="0" fontId="11" fillId="22" borderId="18" xfId="0" applyFont="1" applyFill="1" applyBorder="1" applyAlignment="1">
      <alignment horizontal="center" wrapText="1"/>
    </xf>
    <xf numFmtId="0" fontId="13" fillId="27" borderId="9" xfId="0" applyFont="1" applyFill="1" applyBorder="1" applyAlignment="1">
      <alignment horizontal="left" wrapText="1"/>
    </xf>
    <xf numFmtId="0" fontId="11" fillId="29" borderId="9" xfId="0" applyFont="1" applyFill="1" applyBorder="1" applyAlignment="1">
      <alignment horizontal="left" wrapText="1"/>
    </xf>
    <xf numFmtId="0" fontId="11" fillId="33" borderId="9" xfId="0" applyFont="1" applyFill="1" applyBorder="1" applyAlignment="1">
      <alignment horizontal="left" wrapText="1"/>
    </xf>
    <xf numFmtId="0" fontId="11" fillId="34" borderId="9" xfId="0" applyFont="1" applyFill="1" applyBorder="1" applyAlignment="1">
      <alignment horizontal="left" wrapText="1"/>
    </xf>
    <xf numFmtId="0" fontId="11" fillId="35" borderId="9" xfId="0" applyFont="1" applyFill="1" applyBorder="1" applyAlignment="1">
      <alignment wrapText="1"/>
    </xf>
    <xf numFmtId="0" fontId="20" fillId="0" borderId="9" xfId="0" applyFont="1" applyBorder="1" applyAlignment="1"/>
    <xf numFmtId="0" fontId="11" fillId="0" borderId="18" xfId="0" applyFont="1" applyFill="1" applyBorder="1" applyAlignment="1">
      <alignment wrapText="1"/>
    </xf>
    <xf numFmtId="0" fontId="13" fillId="26" borderId="21" xfId="0" applyFont="1" applyFill="1" applyBorder="1" applyAlignment="1">
      <alignment wrapText="1"/>
    </xf>
    <xf numFmtId="0" fontId="11" fillId="26" borderId="9" xfId="0" applyFont="1" applyFill="1" applyBorder="1" applyAlignment="1">
      <alignment horizontal="center" wrapText="1"/>
    </xf>
    <xf numFmtId="0" fontId="11" fillId="0" borderId="9" xfId="0" applyFont="1" applyFill="1" applyBorder="1" applyAlignment="1">
      <alignment wrapText="1"/>
    </xf>
    <xf numFmtId="3" fontId="11" fillId="26" borderId="9" xfId="0" applyNumberFormat="1" applyFont="1" applyFill="1" applyBorder="1" applyAlignment="1">
      <alignment wrapText="1"/>
    </xf>
    <xf numFmtId="0" fontId="13" fillId="22" borderId="9" xfId="0" applyFont="1" applyFill="1" applyBorder="1" applyAlignment="1">
      <alignment wrapText="1"/>
    </xf>
    <xf numFmtId="0" fontId="11" fillId="22" borderId="9" xfId="0" applyFont="1" applyFill="1" applyBorder="1" applyAlignment="1">
      <alignment horizontal="center" wrapText="1"/>
    </xf>
    <xf numFmtId="3" fontId="11" fillId="22" borderId="9" xfId="0" applyNumberFormat="1" applyFont="1" applyFill="1" applyBorder="1" applyAlignment="1">
      <alignment wrapText="1"/>
    </xf>
    <xf numFmtId="0" fontId="14" fillId="22" borderId="9" xfId="0" applyFont="1" applyFill="1" applyBorder="1" applyAlignment="1">
      <alignment horizontal="left" wrapText="1"/>
    </xf>
    <xf numFmtId="0" fontId="11" fillId="22" borderId="21" xfId="0" applyFont="1" applyFill="1" applyBorder="1" applyAlignment="1">
      <alignment wrapText="1"/>
    </xf>
    <xf numFmtId="0" fontId="14" fillId="22" borderId="21" xfId="0" applyFont="1" applyFill="1" applyBorder="1" applyAlignment="1">
      <alignment horizontal="left" wrapText="1"/>
    </xf>
    <xf numFmtId="3" fontId="14" fillId="26" borderId="18" xfId="0" applyNumberFormat="1" applyFont="1" applyFill="1" applyBorder="1" applyAlignment="1">
      <alignment horizontal="right"/>
    </xf>
    <xf numFmtId="3" fontId="11" fillId="26" borderId="18" xfId="0" applyNumberFormat="1" applyFont="1" applyFill="1" applyBorder="1" applyAlignment="1">
      <alignment wrapText="1"/>
    </xf>
    <xf numFmtId="3" fontId="11" fillId="26" borderId="18" xfId="0" applyNumberFormat="1" applyFont="1" applyFill="1" applyBorder="1" applyAlignment="1">
      <alignment horizontal="right" wrapText="1"/>
    </xf>
    <xf numFmtId="0" fontId="11" fillId="26" borderId="18" xfId="0" applyFont="1" applyFill="1" applyBorder="1" applyAlignment="1">
      <alignment horizontal="right" wrapText="1"/>
    </xf>
    <xf numFmtId="0" fontId="19" fillId="26" borderId="18" xfId="0" applyFont="1" applyFill="1" applyBorder="1" applyAlignment="1">
      <alignment wrapText="1"/>
    </xf>
    <xf numFmtId="0" fontId="14" fillId="26" borderId="18" xfId="0" applyFont="1" applyFill="1" applyBorder="1"/>
    <xf numFmtId="0" fontId="14" fillId="26" borderId="18" xfId="0" applyFont="1" applyFill="1" applyBorder="1" applyAlignment="1">
      <alignment horizontal="center"/>
    </xf>
    <xf numFmtId="0" fontId="14" fillId="26" borderId="18" xfId="0" applyFont="1" applyFill="1" applyBorder="1" applyAlignment="1">
      <alignment horizontal="right"/>
    </xf>
    <xf numFmtId="0" fontId="14" fillId="26" borderId="18" xfId="0" applyFont="1" applyFill="1" applyBorder="1" applyAlignment="1">
      <alignment horizontal="left"/>
    </xf>
    <xf numFmtId="0" fontId="14" fillId="44" borderId="18" xfId="0" applyFont="1" applyFill="1" applyBorder="1" applyAlignment="1">
      <alignment horizontal="right"/>
    </xf>
    <xf numFmtId="3" fontId="14" fillId="44" borderId="18" xfId="0" applyNumberFormat="1" applyFont="1" applyFill="1" applyBorder="1" applyAlignment="1">
      <alignment horizontal="right"/>
    </xf>
    <xf numFmtId="3" fontId="11" fillId="44" borderId="18" xfId="0" applyNumberFormat="1" applyFont="1" applyFill="1" applyBorder="1" applyAlignment="1">
      <alignment wrapText="1"/>
    </xf>
    <xf numFmtId="3" fontId="11" fillId="44" borderId="18" xfId="0" applyNumberFormat="1" applyFont="1" applyFill="1" applyBorder="1" applyAlignment="1">
      <alignment horizontal="right" wrapText="1"/>
    </xf>
    <xf numFmtId="0" fontId="13" fillId="26" borderId="18" xfId="0" applyFont="1" applyFill="1" applyBorder="1" applyAlignment="1">
      <alignment wrapText="1"/>
    </xf>
    <xf numFmtId="0" fontId="11" fillId="26" borderId="18" xfId="0" applyFont="1" applyFill="1" applyBorder="1" applyAlignment="1">
      <alignment horizontal="center" wrapText="1"/>
    </xf>
    <xf numFmtId="2" fontId="11" fillId="26" borderId="18" xfId="0" applyNumberFormat="1" applyFont="1" applyFill="1" applyBorder="1" applyAlignment="1">
      <alignment horizontal="right" wrapText="1"/>
    </xf>
    <xf numFmtId="1" fontId="11" fillId="26" borderId="18" xfId="0" applyNumberFormat="1" applyFont="1" applyFill="1" applyBorder="1" applyAlignment="1">
      <alignment wrapText="1"/>
    </xf>
    <xf numFmtId="165" fontId="11" fillId="44" borderId="18" xfId="0" applyNumberFormat="1" applyFont="1" applyFill="1" applyBorder="1" applyAlignment="1">
      <alignment horizontal="right" wrapText="1"/>
    </xf>
    <xf numFmtId="165" fontId="14" fillId="19" borderId="18" xfId="0" applyNumberFormat="1" applyFont="1" applyFill="1" applyBorder="1" applyAlignment="1">
      <alignment horizontal="left" wrapText="1"/>
    </xf>
    <xf numFmtId="0" fontId="17" fillId="22" borderId="18" xfId="0" applyFont="1" applyFill="1" applyBorder="1" applyAlignment="1">
      <alignment horizontal="left" wrapText="1"/>
    </xf>
    <xf numFmtId="0" fontId="14" fillId="22" borderId="18" xfId="0" applyFont="1" applyFill="1" applyBorder="1" applyAlignment="1">
      <alignment horizontal="left" wrapText="1"/>
    </xf>
    <xf numFmtId="0" fontId="14" fillId="22" borderId="18" xfId="0" applyFont="1" applyFill="1" applyBorder="1" applyAlignment="1">
      <alignment horizontal="center" wrapText="1"/>
    </xf>
    <xf numFmtId="165" fontId="14" fillId="25" borderId="18" xfId="0" applyNumberFormat="1" applyFont="1" applyFill="1" applyBorder="1" applyAlignment="1">
      <alignment horizontal="left" wrapText="1"/>
    </xf>
    <xf numFmtId="3" fontId="11" fillId="25" borderId="18" xfId="0" applyNumberFormat="1" applyFont="1" applyFill="1" applyBorder="1" applyAlignment="1">
      <alignment wrapText="1"/>
    </xf>
    <xf numFmtId="3" fontId="11" fillId="40" borderId="18" xfId="0" applyNumberFormat="1" applyFont="1" applyFill="1" applyBorder="1" applyAlignment="1">
      <alignment horizontal="right" wrapText="1"/>
    </xf>
    <xf numFmtId="0" fontId="11" fillId="22" borderId="18" xfId="0" applyFont="1" applyFill="1" applyBorder="1" applyAlignment="1">
      <alignment horizontal="right" wrapText="1"/>
    </xf>
    <xf numFmtId="165" fontId="14" fillId="25" borderId="18" xfId="0" applyNumberFormat="1" applyFont="1" applyFill="1" applyBorder="1" applyAlignment="1">
      <alignment wrapText="1"/>
    </xf>
    <xf numFmtId="3" fontId="11" fillId="26" borderId="21" xfId="0" applyNumberFormat="1" applyFont="1" applyFill="1" applyBorder="1" applyAlignment="1">
      <alignment wrapText="1"/>
    </xf>
    <xf numFmtId="0" fontId="18" fillId="0" borderId="9" xfId="0" applyFont="1" applyBorder="1" applyAlignment="1">
      <alignment wrapText="1"/>
    </xf>
    <xf numFmtId="0" fontId="13" fillId="22" borderId="18" xfId="0" applyFont="1" applyFill="1" applyBorder="1" applyAlignment="1">
      <alignment wrapText="1"/>
    </xf>
    <xf numFmtId="0" fontId="11" fillId="24" borderId="18" xfId="0" applyFont="1" applyFill="1" applyBorder="1" applyAlignment="1">
      <alignment wrapText="1"/>
    </xf>
    <xf numFmtId="3" fontId="11" fillId="24" borderId="18" xfId="0" applyNumberFormat="1" applyFont="1" applyFill="1" applyBorder="1" applyAlignment="1">
      <alignment wrapText="1"/>
    </xf>
    <xf numFmtId="165" fontId="14" fillId="43" borderId="18" xfId="0" applyNumberFormat="1" applyFont="1" applyFill="1" applyBorder="1" applyAlignment="1">
      <alignment horizontal="left" wrapText="1"/>
    </xf>
    <xf numFmtId="0" fontId="11" fillId="24" borderId="18" xfId="0" applyFont="1" applyFill="1" applyBorder="1" applyAlignment="1">
      <alignment horizontal="right" wrapText="1"/>
    </xf>
    <xf numFmtId="2" fontId="11" fillId="26" borderId="21" xfId="0" applyNumberFormat="1" applyFont="1" applyFill="1" applyBorder="1" applyAlignment="1">
      <alignment horizontal="right" wrapText="1"/>
    </xf>
    <xf numFmtId="0" fontId="11" fillId="26" borderId="21" xfId="0" applyFont="1" applyFill="1" applyBorder="1" applyAlignment="1">
      <alignment wrapText="1"/>
    </xf>
    <xf numFmtId="0" fontId="7" fillId="29" borderId="9" xfId="0" applyFont="1" applyFill="1" applyBorder="1" applyAlignment="1">
      <alignment horizontal="center" wrapText="1"/>
    </xf>
    <xf numFmtId="0" fontId="7" fillId="30" borderId="9" xfId="0" applyFont="1" applyFill="1" applyBorder="1" applyAlignment="1">
      <alignment horizontal="center" wrapText="1"/>
    </xf>
    <xf numFmtId="164" fontId="7" fillId="31" borderId="9" xfId="0" applyNumberFormat="1" applyFont="1" applyFill="1" applyBorder="1" applyAlignment="1">
      <alignment horizontal="center" wrapText="1"/>
    </xf>
    <xf numFmtId="1" fontId="7" fillId="31" borderId="9" xfId="0" applyNumberFormat="1" applyFont="1" applyFill="1" applyBorder="1" applyAlignment="1">
      <alignment horizontal="center" wrapText="1"/>
    </xf>
    <xf numFmtId="0" fontId="7" fillId="31" borderId="9" xfId="0" applyFont="1" applyFill="1" applyBorder="1" applyAlignment="1">
      <alignment horizontal="center" wrapText="1"/>
    </xf>
    <xf numFmtId="1" fontId="7" fillId="32" borderId="9" xfId="0" applyNumberFormat="1" applyFont="1" applyFill="1" applyBorder="1" applyAlignment="1">
      <alignment horizontal="center" wrapText="1"/>
    </xf>
    <xf numFmtId="0" fontId="7" fillId="33" borderId="9" xfId="0" applyFont="1" applyFill="1" applyBorder="1" applyAlignment="1">
      <alignment horizontal="center" wrapText="1"/>
    </xf>
    <xf numFmtId="0" fontId="23" fillId="0" borderId="0" xfId="0" applyFont="1" applyAlignment="1">
      <alignment wrapText="1"/>
    </xf>
    <xf numFmtId="0" fontId="9" fillId="0" borderId="0" xfId="0" applyFont="1" applyAlignment="1">
      <alignment wrapText="1"/>
    </xf>
    <xf numFmtId="0" fontId="9" fillId="0" borderId="0" xfId="0" applyFont="1" applyBorder="1" applyAlignment="1">
      <alignment wrapText="1"/>
    </xf>
    <xf numFmtId="0" fontId="23" fillId="0" borderId="0" xfId="0" applyFont="1" applyBorder="1" applyAlignment="1">
      <alignment wrapText="1"/>
    </xf>
    <xf numFmtId="0" fontId="23" fillId="0" borderId="0" xfId="0" applyFont="1" applyFill="1" applyAlignment="1">
      <alignment wrapText="1"/>
    </xf>
    <xf numFmtId="0" fontId="0" fillId="0" borderId="0" xfId="0" applyFont="1" applyFill="1" applyAlignment="1"/>
    <xf numFmtId="0" fontId="27" fillId="0" borderId="0" xfId="0" applyFont="1"/>
    <xf numFmtId="0" fontId="27" fillId="0" borderId="0" xfId="0" applyFont="1" applyBorder="1"/>
    <xf numFmtId="0" fontId="26" fillId="0" borderId="0" xfId="0" applyFont="1" applyAlignment="1">
      <alignment wrapText="1"/>
    </xf>
    <xf numFmtId="0" fontId="25" fillId="0" borderId="0" xfId="0" applyFont="1" applyFill="1" applyBorder="1" applyAlignment="1">
      <alignment wrapText="1"/>
    </xf>
    <xf numFmtId="0" fontId="26" fillId="0" borderId="0" xfId="0" applyFont="1" applyFill="1" applyBorder="1" applyAlignment="1">
      <alignment wrapText="1"/>
    </xf>
    <xf numFmtId="0" fontId="6" fillId="41" borderId="11" xfId="0" applyFont="1" applyFill="1" applyBorder="1" applyAlignment="1">
      <alignment horizontal="center" wrapText="1"/>
    </xf>
    <xf numFmtId="0" fontId="33" fillId="26" borderId="16" xfId="0" applyFont="1" applyFill="1" applyBorder="1" applyAlignment="1">
      <alignment wrapText="1"/>
    </xf>
    <xf numFmtId="0" fontId="33" fillId="26" borderId="17" xfId="0" applyFont="1" applyFill="1" applyBorder="1" applyAlignment="1">
      <alignment wrapText="1"/>
    </xf>
    <xf numFmtId="0" fontId="35" fillId="26" borderId="17" xfId="0" applyFont="1" applyFill="1" applyBorder="1" applyAlignment="1">
      <alignment wrapText="1"/>
    </xf>
    <xf numFmtId="0" fontId="33" fillId="26" borderId="17" xfId="0" applyFont="1" applyFill="1" applyBorder="1" applyAlignment="1">
      <alignment horizontal="center" wrapText="1"/>
    </xf>
    <xf numFmtId="3" fontId="33" fillId="26" borderId="17" xfId="0" applyNumberFormat="1" applyFont="1" applyFill="1" applyBorder="1" applyAlignment="1">
      <alignment wrapText="1"/>
    </xf>
    <xf numFmtId="0" fontId="33" fillId="26" borderId="20" xfId="0" applyFont="1" applyFill="1" applyBorder="1" applyAlignment="1">
      <alignment wrapText="1"/>
    </xf>
    <xf numFmtId="0" fontId="33" fillId="26" borderId="9" xfId="0" applyFont="1" applyFill="1" applyBorder="1" applyAlignment="1">
      <alignment wrapText="1"/>
    </xf>
    <xf numFmtId="0" fontId="10" fillId="21" borderId="23" xfId="0" applyFont="1" applyFill="1" applyBorder="1" applyAlignment="1"/>
    <xf numFmtId="0" fontId="33" fillId="26" borderId="21" xfId="0" applyFont="1" applyFill="1" applyBorder="1" applyAlignment="1">
      <alignment wrapText="1"/>
    </xf>
    <xf numFmtId="0" fontId="33" fillId="22" borderId="9" xfId="0" applyFont="1" applyFill="1" applyBorder="1" applyAlignment="1">
      <alignment wrapText="1"/>
    </xf>
    <xf numFmtId="0" fontId="33" fillId="35" borderId="14" xfId="0" applyFont="1" applyFill="1" applyBorder="1" applyAlignment="1">
      <alignment wrapText="1"/>
    </xf>
    <xf numFmtId="0" fontId="33" fillId="35" borderId="18" xfId="0" applyFont="1" applyFill="1" applyBorder="1" applyAlignment="1">
      <alignment wrapText="1"/>
    </xf>
    <xf numFmtId="0" fontId="35" fillId="35" borderId="18" xfId="0" applyFont="1" applyFill="1" applyBorder="1" applyAlignment="1">
      <alignment wrapText="1"/>
    </xf>
    <xf numFmtId="0" fontId="33" fillId="26" borderId="18" xfId="0" applyFont="1" applyFill="1" applyBorder="1" applyAlignment="1">
      <alignment wrapText="1"/>
    </xf>
    <xf numFmtId="0" fontId="33" fillId="0" borderId="18" xfId="0" applyFont="1" applyBorder="1" applyAlignment="1">
      <alignment wrapText="1"/>
    </xf>
    <xf numFmtId="0" fontId="33" fillId="0" borderId="18" xfId="0" applyFont="1" applyBorder="1" applyAlignment="1">
      <alignment horizontal="center" wrapText="1"/>
    </xf>
    <xf numFmtId="49" fontId="33" fillId="0" borderId="18" xfId="0" applyNumberFormat="1" applyFont="1" applyBorder="1" applyAlignment="1">
      <alignment horizontal="center" wrapText="1"/>
    </xf>
    <xf numFmtId="0" fontId="33" fillId="0" borderId="18" xfId="0" applyFont="1" applyBorder="1" applyAlignment="1">
      <alignment horizontal="right" wrapText="1"/>
    </xf>
    <xf numFmtId="3" fontId="33" fillId="0" borderId="18" xfId="0" applyNumberFormat="1" applyFont="1" applyBorder="1" applyAlignment="1">
      <alignment wrapText="1"/>
    </xf>
    <xf numFmtId="3" fontId="33" fillId="35" borderId="18" xfId="0" applyNumberFormat="1" applyFont="1" applyFill="1" applyBorder="1" applyAlignment="1">
      <alignment wrapText="1"/>
    </xf>
    <xf numFmtId="3" fontId="33" fillId="0" borderId="18" xfId="0" applyNumberFormat="1" applyFont="1" applyBorder="1" applyAlignment="1">
      <alignment horizontal="right" wrapText="1"/>
    </xf>
    <xf numFmtId="3" fontId="33" fillId="0" borderId="18" xfId="0" applyNumberFormat="1" applyFont="1" applyBorder="1" applyAlignment="1">
      <alignment horizontal="left" wrapText="1"/>
    </xf>
    <xf numFmtId="0" fontId="11" fillId="61" borderId="9" xfId="0" applyFont="1" applyFill="1" applyBorder="1" applyAlignment="1">
      <alignment horizontal="left" wrapText="1"/>
    </xf>
    <xf numFmtId="0" fontId="19" fillId="61" borderId="18" xfId="0" applyFont="1" applyFill="1" applyBorder="1" applyAlignment="1">
      <alignment wrapText="1"/>
    </xf>
    <xf numFmtId="0" fontId="11" fillId="61" borderId="18" xfId="0" applyFont="1" applyFill="1" applyBorder="1" applyAlignment="1">
      <alignment wrapText="1"/>
    </xf>
    <xf numFmtId="0" fontId="11" fillId="61" borderId="18" xfId="0" applyFont="1" applyFill="1" applyBorder="1" applyAlignment="1">
      <alignment horizontal="left" wrapText="1"/>
    </xf>
    <xf numFmtId="0" fontId="7" fillId="61" borderId="18" xfId="0" applyFont="1" applyFill="1" applyBorder="1" applyAlignment="1">
      <alignment wrapText="1"/>
    </xf>
    <xf numFmtId="0" fontId="11" fillId="61" borderId="18" xfId="0" applyFont="1" applyFill="1" applyBorder="1" applyAlignment="1">
      <alignment horizontal="center" wrapText="1"/>
    </xf>
    <xf numFmtId="17" fontId="11" fillId="62" borderId="18" xfId="0" applyNumberFormat="1" applyFont="1" applyFill="1" applyBorder="1" applyAlignment="1">
      <alignment horizontal="right" wrapText="1"/>
    </xf>
    <xf numFmtId="0" fontId="11" fillId="62" borderId="18" xfId="0" applyFont="1" applyFill="1" applyBorder="1" applyAlignment="1">
      <alignment wrapText="1"/>
    </xf>
    <xf numFmtId="165" fontId="14" fillId="61" borderId="18" xfId="0" applyNumberFormat="1" applyFont="1" applyFill="1" applyBorder="1" applyAlignment="1">
      <alignment horizontal="left" wrapText="1"/>
    </xf>
    <xf numFmtId="3" fontId="11" fillId="61" borderId="18" xfId="0" applyNumberFormat="1" applyFont="1" applyFill="1" applyBorder="1" applyAlignment="1">
      <alignment wrapText="1"/>
    </xf>
    <xf numFmtId="3" fontId="11" fillId="63" borderId="18" xfId="0" applyNumberFormat="1" applyFont="1" applyFill="1" applyBorder="1" applyAlignment="1">
      <alignment wrapText="1"/>
    </xf>
    <xf numFmtId="0" fontId="11" fillId="62" borderId="15" xfId="0" applyFont="1" applyFill="1" applyBorder="1" applyAlignment="1">
      <alignment wrapText="1"/>
    </xf>
    <xf numFmtId="0" fontId="33" fillId="26" borderId="14" xfId="0" applyFont="1" applyFill="1" applyBorder="1" applyAlignment="1">
      <alignment wrapText="1"/>
    </xf>
    <xf numFmtId="0" fontId="35" fillId="26" borderId="18" xfId="0" applyFont="1" applyFill="1" applyBorder="1" applyAlignment="1">
      <alignment wrapText="1"/>
    </xf>
    <xf numFmtId="0" fontId="33" fillId="21" borderId="18" xfId="0" applyFont="1" applyFill="1" applyBorder="1" applyAlignment="1">
      <alignment wrapText="1"/>
    </xf>
    <xf numFmtId="0" fontId="33" fillId="26" borderId="18" xfId="0" applyFont="1" applyFill="1" applyBorder="1" applyAlignment="1">
      <alignment horizontal="center" wrapText="1"/>
    </xf>
    <xf numFmtId="0" fontId="33" fillId="26" borderId="18" xfId="0" applyFont="1" applyFill="1" applyBorder="1" applyAlignment="1">
      <alignment horizontal="left" wrapText="1"/>
    </xf>
    <xf numFmtId="0" fontId="33" fillId="26" borderId="18" xfId="0" applyFont="1" applyFill="1" applyBorder="1" applyAlignment="1">
      <alignment horizontal="right" wrapText="1"/>
    </xf>
    <xf numFmtId="165" fontId="10" fillId="26" borderId="18" xfId="0" applyNumberFormat="1" applyFont="1" applyFill="1" applyBorder="1" applyAlignment="1">
      <alignment horizontal="left" wrapText="1"/>
    </xf>
    <xf numFmtId="3" fontId="33" fillId="26" borderId="18" xfId="0" applyNumberFormat="1" applyFont="1" applyFill="1" applyBorder="1" applyAlignment="1">
      <alignment wrapText="1"/>
    </xf>
    <xf numFmtId="0" fontId="33" fillId="26" borderId="15" xfId="0" applyFont="1" applyFill="1" applyBorder="1" applyAlignment="1">
      <alignment wrapText="1"/>
    </xf>
    <xf numFmtId="0" fontId="34" fillId="26" borderId="18" xfId="0" applyFont="1" applyFill="1" applyBorder="1" applyAlignment="1">
      <alignment wrapText="1"/>
    </xf>
    <xf numFmtId="0" fontId="35" fillId="21" borderId="18" xfId="0" applyFont="1" applyFill="1" applyBorder="1" applyAlignment="1">
      <alignment wrapText="1"/>
    </xf>
    <xf numFmtId="0" fontId="33" fillId="21" borderId="18" xfId="0" applyFont="1" applyFill="1" applyBorder="1" applyAlignment="1">
      <alignment horizontal="center" wrapText="1"/>
    </xf>
    <xf numFmtId="0" fontId="33" fillId="26" borderId="24" xfId="0" applyFont="1" applyFill="1" applyBorder="1" applyAlignment="1">
      <alignment wrapText="1"/>
    </xf>
    <xf numFmtId="0" fontId="35" fillId="26" borderId="21" xfId="0" applyFont="1" applyFill="1" applyBorder="1" applyAlignment="1">
      <alignment wrapText="1"/>
    </xf>
    <xf numFmtId="0" fontId="33" fillId="26" borderId="21" xfId="0" applyFont="1" applyFill="1" applyBorder="1" applyAlignment="1">
      <alignment horizontal="center" wrapText="1"/>
    </xf>
    <xf numFmtId="0" fontId="33" fillId="26" borderId="21" xfId="0" applyFont="1" applyFill="1" applyBorder="1" applyAlignment="1">
      <alignment horizontal="right" wrapText="1"/>
    </xf>
    <xf numFmtId="3" fontId="33" fillId="26" borderId="21" xfId="0" applyNumberFormat="1" applyFont="1" applyFill="1" applyBorder="1" applyAlignment="1">
      <alignment wrapText="1"/>
    </xf>
    <xf numFmtId="165" fontId="10" fillId="19" borderId="21" xfId="0" applyNumberFormat="1" applyFont="1" applyFill="1" applyBorder="1" applyAlignment="1">
      <alignment horizontal="left" wrapText="1"/>
    </xf>
    <xf numFmtId="3" fontId="33" fillId="20" borderId="21" xfId="0" applyNumberFormat="1" applyFont="1" applyFill="1" applyBorder="1" applyAlignment="1">
      <alignment wrapText="1"/>
    </xf>
    <xf numFmtId="0" fontId="33" fillId="64" borderId="11" xfId="0" applyFont="1" applyFill="1" applyBorder="1" applyAlignment="1">
      <alignment wrapText="1"/>
    </xf>
    <xf numFmtId="0" fontId="33" fillId="41" borderId="11" xfId="0" applyFont="1" applyFill="1" applyBorder="1" applyAlignment="1">
      <alignment wrapText="1"/>
    </xf>
    <xf numFmtId="0" fontId="33" fillId="64" borderId="11" xfId="0" applyFont="1" applyFill="1" applyBorder="1" applyAlignment="1">
      <alignment horizontal="center" wrapText="1"/>
    </xf>
    <xf numFmtId="0" fontId="33" fillId="64" borderId="11" xfId="0" applyFont="1" applyFill="1" applyBorder="1" applyAlignment="1">
      <alignment horizontal="right" wrapText="1"/>
    </xf>
    <xf numFmtId="3" fontId="33" fillId="64" borderId="11" xfId="0" applyNumberFormat="1" applyFont="1" applyFill="1" applyBorder="1" applyAlignment="1">
      <alignment wrapText="1"/>
    </xf>
    <xf numFmtId="165" fontId="10" fillId="64" borderId="11" xfId="0" applyNumberFormat="1" applyFont="1" applyFill="1" applyBorder="1" applyAlignment="1">
      <alignment horizontal="left" wrapText="1"/>
    </xf>
    <xf numFmtId="166" fontId="33" fillId="26" borderId="18" xfId="0" applyNumberFormat="1" applyFont="1" applyFill="1" applyBorder="1" applyAlignment="1">
      <alignment wrapText="1"/>
    </xf>
    <xf numFmtId="2" fontId="33" fillId="26" borderId="18" xfId="0" applyNumberFormat="1" applyFont="1" applyFill="1" applyBorder="1" applyAlignment="1">
      <alignment horizontal="right" wrapText="1"/>
    </xf>
    <xf numFmtId="3" fontId="33" fillId="20" borderId="18" xfId="0" applyNumberFormat="1" applyFont="1" applyFill="1" applyBorder="1" applyAlignment="1">
      <alignment wrapText="1"/>
    </xf>
    <xf numFmtId="1" fontId="33" fillId="26" borderId="18" xfId="0" applyNumberFormat="1" applyFont="1" applyFill="1" applyBorder="1" applyAlignment="1">
      <alignment horizontal="right" wrapText="1"/>
    </xf>
    <xf numFmtId="2" fontId="33" fillId="21" borderId="18" xfId="0" applyNumberFormat="1" applyFont="1" applyFill="1" applyBorder="1" applyAlignment="1">
      <alignment horizontal="right" wrapText="1"/>
    </xf>
    <xf numFmtId="3" fontId="33" fillId="21" borderId="18" xfId="0" applyNumberFormat="1" applyFont="1" applyFill="1" applyBorder="1" applyAlignment="1">
      <alignment wrapText="1"/>
    </xf>
    <xf numFmtId="3" fontId="33" fillId="59" borderId="18" xfId="0" applyNumberFormat="1" applyFont="1" applyFill="1" applyBorder="1" applyAlignment="1">
      <alignment wrapText="1"/>
    </xf>
    <xf numFmtId="0" fontId="33" fillId="22" borderId="18" xfId="0" applyFont="1" applyFill="1" applyBorder="1" applyAlignment="1">
      <alignment wrapText="1"/>
    </xf>
    <xf numFmtId="1" fontId="33" fillId="21" borderId="18" xfId="0" applyNumberFormat="1" applyFont="1" applyFill="1" applyBorder="1" applyAlignment="1">
      <alignment horizontal="right" wrapText="1"/>
    </xf>
    <xf numFmtId="0" fontId="33" fillId="26" borderId="27" xfId="0" applyFont="1" applyFill="1" applyBorder="1" applyAlignment="1">
      <alignment wrapText="1"/>
    </xf>
    <xf numFmtId="0" fontId="33" fillId="65" borderId="11" xfId="0" applyFont="1" applyFill="1" applyBorder="1" applyAlignment="1">
      <alignment wrapText="1"/>
    </xf>
    <xf numFmtId="0" fontId="35" fillId="65" borderId="11" xfId="0" applyFont="1" applyFill="1" applyBorder="1" applyAlignment="1">
      <alignment wrapText="1"/>
    </xf>
    <xf numFmtId="0" fontId="33" fillId="65" borderId="11" xfId="0" applyFont="1" applyFill="1" applyBorder="1" applyAlignment="1">
      <alignment horizontal="center" wrapText="1"/>
    </xf>
    <xf numFmtId="0" fontId="27" fillId="56" borderId="11" xfId="0" applyFont="1" applyFill="1" applyBorder="1" applyAlignment="1">
      <alignment wrapText="1"/>
    </xf>
    <xf numFmtId="0" fontId="35" fillId="56" borderId="11" xfId="0" applyFont="1" applyFill="1" applyBorder="1" applyAlignment="1">
      <alignment wrapText="1"/>
    </xf>
    <xf numFmtId="0" fontId="37" fillId="55" borderId="11" xfId="0" applyFont="1" applyFill="1" applyBorder="1"/>
    <xf numFmtId="0" fontId="27" fillId="56" borderId="11" xfId="0" applyFont="1" applyFill="1" applyBorder="1" applyAlignment="1"/>
    <xf numFmtId="0" fontId="10" fillId="56" borderId="11" xfId="0" applyFont="1" applyFill="1" applyBorder="1" applyAlignment="1">
      <alignment horizontal="center" wrapText="1"/>
    </xf>
    <xf numFmtId="0" fontId="37" fillId="56" borderId="11" xfId="0" applyFont="1" applyFill="1" applyBorder="1"/>
    <xf numFmtId="0" fontId="33" fillId="55" borderId="11" xfId="0" applyFont="1" applyFill="1" applyBorder="1" applyAlignment="1">
      <alignment wrapText="1"/>
    </xf>
    <xf numFmtId="0" fontId="27" fillId="56" borderId="11" xfId="0" applyFont="1" applyFill="1" applyBorder="1"/>
    <xf numFmtId="4" fontId="27" fillId="56" borderId="11" xfId="0" applyNumberFormat="1" applyFont="1" applyFill="1" applyBorder="1" applyAlignment="1"/>
    <xf numFmtId="0" fontId="2" fillId="55" borderId="11" xfId="0" applyFont="1" applyFill="1" applyBorder="1" applyAlignment="1"/>
    <xf numFmtId="0" fontId="16" fillId="55" borderId="11" xfId="0" applyFont="1" applyFill="1" applyBorder="1" applyAlignment="1"/>
    <xf numFmtId="0" fontId="2" fillId="55" borderId="11" xfId="0" applyFont="1" applyFill="1" applyBorder="1" applyAlignment="1">
      <alignment horizontal="center"/>
    </xf>
    <xf numFmtId="0" fontId="33" fillId="26" borderId="17" xfId="0" applyFont="1" applyFill="1" applyBorder="1" applyAlignment="1">
      <alignment horizontal="right" wrapText="1"/>
    </xf>
    <xf numFmtId="3" fontId="33" fillId="26" borderId="18" xfId="0" applyNumberFormat="1" applyFont="1" applyFill="1" applyBorder="1" applyAlignment="1">
      <alignment horizontal="right" wrapText="1"/>
    </xf>
    <xf numFmtId="0" fontId="33" fillId="26" borderId="18" xfId="0" applyFont="1" applyFill="1" applyBorder="1" applyAlignment="1">
      <alignment vertical="top" wrapText="1"/>
    </xf>
    <xf numFmtId="0" fontId="42" fillId="0" borderId="0" xfId="0" applyFont="1" applyAlignment="1"/>
    <xf numFmtId="0" fontId="43" fillId="0" borderId="0" xfId="0" applyFont="1" applyAlignment="1">
      <alignment wrapText="1"/>
    </xf>
    <xf numFmtId="0" fontId="25" fillId="66" borderId="17" xfId="0" applyFont="1" applyFill="1" applyBorder="1" applyAlignment="1">
      <alignment wrapText="1"/>
    </xf>
    <xf numFmtId="0" fontId="25" fillId="66" borderId="18" xfId="0" applyFont="1" applyFill="1" applyBorder="1" applyAlignment="1">
      <alignment wrapText="1"/>
    </xf>
    <xf numFmtId="0" fontId="25" fillId="66" borderId="21" xfId="0" applyFont="1" applyFill="1" applyBorder="1" applyAlignment="1">
      <alignment wrapText="1"/>
    </xf>
    <xf numFmtId="0" fontId="25" fillId="66" borderId="9" xfId="0" applyFont="1" applyFill="1" applyBorder="1" applyAlignment="1">
      <alignment wrapText="1"/>
    </xf>
    <xf numFmtId="0" fontId="25" fillId="35" borderId="0" xfId="0" applyFont="1" applyFill="1" applyBorder="1" applyAlignment="1">
      <alignment wrapText="1"/>
    </xf>
    <xf numFmtId="0" fontId="32" fillId="35" borderId="0" xfId="0" applyFont="1" applyFill="1" applyBorder="1"/>
    <xf numFmtId="0" fontId="2" fillId="0" borderId="0" xfId="0" applyFont="1" applyAlignment="1"/>
    <xf numFmtId="0" fontId="6" fillId="35" borderId="28" xfId="0" applyFont="1" applyFill="1" applyBorder="1" applyAlignment="1">
      <alignment horizontal="center" wrapText="1"/>
    </xf>
    <xf numFmtId="0" fontId="6" fillId="35" borderId="19" xfId="0" applyFont="1" applyFill="1" applyBorder="1" applyAlignment="1">
      <alignment horizontal="center" wrapText="1"/>
    </xf>
    <xf numFmtId="3" fontId="6" fillId="35" borderId="19" xfId="0" applyNumberFormat="1" applyFont="1" applyFill="1" applyBorder="1" applyAlignment="1">
      <alignment horizontal="center" wrapText="1"/>
    </xf>
    <xf numFmtId="3" fontId="6" fillId="35" borderId="19" xfId="0" applyNumberFormat="1" applyFont="1" applyFill="1" applyBorder="1" applyAlignment="1">
      <alignment horizontal="center" textRotation="90" wrapText="1"/>
    </xf>
    <xf numFmtId="0" fontId="6" fillId="66" borderId="11" xfId="0" applyFont="1" applyFill="1" applyBorder="1" applyAlignment="1">
      <alignment horizontal="center" wrapText="1"/>
    </xf>
    <xf numFmtId="0" fontId="7" fillId="60" borderId="18" xfId="0" applyFont="1" applyFill="1" applyBorder="1" applyAlignment="1">
      <alignment horizontal="left" wrapText="1"/>
    </xf>
    <xf numFmtId="0" fontId="11" fillId="60" borderId="18" xfId="0" applyFont="1" applyFill="1" applyBorder="1" applyAlignment="1">
      <alignment wrapText="1"/>
    </xf>
    <xf numFmtId="0" fontId="13" fillId="60" borderId="18" xfId="0" applyFont="1" applyFill="1" applyBorder="1" applyAlignment="1">
      <alignment wrapText="1"/>
    </xf>
    <xf numFmtId="0" fontId="7" fillId="60" borderId="18" xfId="0" applyFont="1" applyFill="1" applyBorder="1" applyAlignment="1">
      <alignment wrapText="1"/>
    </xf>
    <xf numFmtId="3" fontId="11" fillId="70" borderId="18" xfId="0" applyNumberFormat="1" applyFont="1" applyFill="1" applyBorder="1" applyAlignment="1">
      <alignment wrapText="1"/>
    </xf>
    <xf numFmtId="0" fontId="11" fillId="60" borderId="18" xfId="0" applyFont="1" applyFill="1" applyBorder="1" applyAlignment="1">
      <alignment horizontal="center" wrapText="1"/>
    </xf>
    <xf numFmtId="14" fontId="11" fillId="60" borderId="18" xfId="0" applyNumberFormat="1" applyFont="1" applyFill="1" applyBorder="1" applyAlignment="1">
      <alignment horizontal="right" wrapText="1"/>
    </xf>
    <xf numFmtId="0" fontId="11" fillId="60" borderId="18" xfId="0" applyFont="1" applyFill="1" applyBorder="1" applyAlignment="1">
      <alignment horizontal="right" wrapText="1"/>
    </xf>
    <xf numFmtId="0" fontId="11" fillId="70" borderId="18" xfId="0" applyFont="1" applyFill="1" applyBorder="1" applyAlignment="1">
      <alignment wrapText="1"/>
    </xf>
    <xf numFmtId="3" fontId="11" fillId="62" borderId="18" xfId="0" applyNumberFormat="1" applyFont="1" applyFill="1" applyBorder="1" applyAlignment="1">
      <alignment horizontal="right" wrapText="1"/>
    </xf>
    <xf numFmtId="0" fontId="11" fillId="60" borderId="18" xfId="0" applyFont="1" applyFill="1" applyBorder="1" applyAlignment="1">
      <alignment horizontal="left" wrapText="1"/>
    </xf>
    <xf numFmtId="3" fontId="11" fillId="62" borderId="9" xfId="0" applyNumberFormat="1" applyFont="1" applyFill="1" applyBorder="1" applyAlignment="1">
      <alignment wrapText="1"/>
    </xf>
    <xf numFmtId="0" fontId="11" fillId="72" borderId="18" xfId="0" applyFont="1" applyFill="1" applyBorder="1" applyAlignment="1">
      <alignment wrapText="1"/>
    </xf>
    <xf numFmtId="0" fontId="13" fillId="72" borderId="18" xfId="0" applyFont="1" applyFill="1" applyBorder="1" applyAlignment="1">
      <alignment wrapText="1"/>
    </xf>
    <xf numFmtId="0" fontId="11" fillId="72" borderId="18" xfId="0" applyFont="1" applyFill="1" applyBorder="1" applyAlignment="1">
      <alignment horizontal="center" wrapText="1"/>
    </xf>
    <xf numFmtId="14" fontId="11" fillId="72" borderId="18" xfId="0" applyNumberFormat="1" applyFont="1" applyFill="1" applyBorder="1" applyAlignment="1">
      <alignment horizontal="right" wrapText="1"/>
    </xf>
    <xf numFmtId="0" fontId="11" fillId="73" borderId="18" xfId="0" applyFont="1" applyFill="1" applyBorder="1" applyAlignment="1">
      <alignment wrapText="1"/>
    </xf>
    <xf numFmtId="0" fontId="11" fillId="72" borderId="18" xfId="0" applyFont="1" applyFill="1" applyBorder="1" applyAlignment="1">
      <alignment horizontal="left" wrapText="1"/>
    </xf>
    <xf numFmtId="0" fontId="11" fillId="72" borderId="15" xfId="0" applyFont="1" applyFill="1" applyBorder="1" applyAlignment="1">
      <alignment horizontal="left" wrapText="1"/>
    </xf>
    <xf numFmtId="0" fontId="13" fillId="61" borderId="18" xfId="0" applyFont="1" applyFill="1" applyBorder="1" applyAlignment="1">
      <alignment wrapText="1"/>
    </xf>
    <xf numFmtId="14" fontId="11" fillId="61" borderId="18" xfId="0" applyNumberFormat="1" applyFont="1" applyFill="1" applyBorder="1" applyAlignment="1">
      <alignment horizontal="right" wrapText="1"/>
    </xf>
    <xf numFmtId="0" fontId="11" fillId="61" borderId="15" xfId="0" applyFont="1" applyFill="1" applyBorder="1" applyAlignment="1">
      <alignment horizontal="left" wrapText="1"/>
    </xf>
    <xf numFmtId="3" fontId="11" fillId="73" borderId="18" xfId="0" applyNumberFormat="1" applyFont="1" applyFill="1" applyBorder="1" applyAlignment="1">
      <alignment wrapText="1"/>
    </xf>
    <xf numFmtId="3" fontId="11" fillId="62" borderId="18" xfId="0" applyNumberFormat="1" applyFont="1" applyFill="1" applyBorder="1" applyAlignment="1">
      <alignment wrapText="1"/>
    </xf>
    <xf numFmtId="4" fontId="11" fillId="62" borderId="18" xfId="0" applyNumberFormat="1" applyFont="1" applyFill="1" applyBorder="1" applyAlignment="1"/>
    <xf numFmtId="0" fontId="13" fillId="0" borderId="18" xfId="0" applyFont="1" applyFill="1" applyBorder="1" applyAlignment="1">
      <alignment wrapText="1"/>
    </xf>
    <xf numFmtId="0" fontId="7" fillId="0" borderId="18" xfId="0" applyFont="1" applyFill="1" applyBorder="1" applyAlignment="1">
      <alignment wrapText="1"/>
    </xf>
    <xf numFmtId="2" fontId="11" fillId="60" borderId="18" xfId="0" applyNumberFormat="1" applyFont="1" applyFill="1" applyBorder="1" applyAlignment="1">
      <alignment horizontal="right" wrapText="1"/>
    </xf>
    <xf numFmtId="3" fontId="11" fillId="60" borderId="18" xfId="0" applyNumberFormat="1" applyFont="1" applyFill="1" applyBorder="1" applyAlignment="1">
      <alignment wrapText="1"/>
    </xf>
    <xf numFmtId="3" fontId="14" fillId="62" borderId="18" xfId="0" applyNumberFormat="1" applyFont="1" applyFill="1" applyBorder="1" applyAlignment="1">
      <alignment wrapText="1"/>
    </xf>
    <xf numFmtId="3" fontId="11" fillId="60" borderId="18" xfId="0" applyNumberFormat="1" applyFont="1" applyFill="1" applyBorder="1" applyAlignment="1">
      <alignment horizontal="right" wrapText="1"/>
    </xf>
    <xf numFmtId="0" fontId="11" fillId="60" borderId="15" xfId="0" applyFont="1" applyFill="1" applyBorder="1" applyAlignment="1">
      <alignment wrapText="1"/>
    </xf>
    <xf numFmtId="0" fontId="11" fillId="60" borderId="9" xfId="0" applyFont="1" applyFill="1" applyBorder="1" applyAlignment="1">
      <alignment horizontal="right" wrapText="1"/>
    </xf>
    <xf numFmtId="0" fontId="14" fillId="60" borderId="18" xfId="0" applyFont="1" applyFill="1" applyBorder="1" applyAlignment="1">
      <alignment horizontal="right"/>
    </xf>
    <xf numFmtId="49" fontId="11" fillId="60" borderId="18" xfId="0" applyNumberFormat="1" applyFont="1" applyFill="1" applyBorder="1" applyAlignment="1">
      <alignment horizontal="right" wrapText="1"/>
    </xf>
    <xf numFmtId="0" fontId="7" fillId="72" borderId="18" xfId="0" applyFont="1" applyFill="1" applyBorder="1" applyAlignment="1">
      <alignment horizontal="left" wrapText="1"/>
    </xf>
    <xf numFmtId="0" fontId="11" fillId="71" borderId="18" xfId="0" applyFont="1" applyFill="1" applyBorder="1" applyAlignment="1">
      <alignment wrapText="1"/>
    </xf>
    <xf numFmtId="0" fontId="11" fillId="71" borderId="18" xfId="0" applyFont="1" applyFill="1" applyBorder="1"/>
    <xf numFmtId="4" fontId="11" fillId="71" borderId="18" xfId="0" applyNumberFormat="1" applyFont="1" applyFill="1" applyBorder="1" applyAlignment="1"/>
    <xf numFmtId="0" fontId="11" fillId="71" borderId="9" xfId="0" applyFont="1" applyFill="1" applyBorder="1" applyAlignment="1">
      <alignment wrapText="1"/>
    </xf>
    <xf numFmtId="0" fontId="7" fillId="60" borderId="21" xfId="0" applyFont="1" applyFill="1" applyBorder="1" applyAlignment="1">
      <alignment horizontal="left" wrapText="1"/>
    </xf>
    <xf numFmtId="0" fontId="11" fillId="60" borderId="21" xfId="0" applyFont="1" applyFill="1" applyBorder="1" applyAlignment="1">
      <alignment wrapText="1"/>
    </xf>
    <xf numFmtId="0" fontId="13" fillId="60" borderId="21" xfId="0" applyFont="1" applyFill="1" applyBorder="1" applyAlignment="1">
      <alignment wrapText="1"/>
    </xf>
    <xf numFmtId="0" fontId="11" fillId="60" borderId="21" xfId="0" applyFont="1" applyFill="1" applyBorder="1" applyAlignment="1">
      <alignment horizontal="right" wrapText="1"/>
    </xf>
    <xf numFmtId="0" fontId="11" fillId="60" borderId="21" xfId="0" applyFont="1" applyFill="1" applyBorder="1" applyAlignment="1">
      <alignment horizontal="left" wrapText="1"/>
    </xf>
    <xf numFmtId="0" fontId="11" fillId="60" borderId="9" xfId="0" applyFont="1" applyFill="1" applyBorder="1" applyAlignment="1">
      <alignment horizontal="left" wrapText="1"/>
    </xf>
    <xf numFmtId="3" fontId="11" fillId="74" borderId="18" xfId="0" applyNumberFormat="1" applyFont="1" applyFill="1" applyBorder="1" applyAlignment="1">
      <alignment wrapText="1"/>
    </xf>
    <xf numFmtId="0" fontId="11" fillId="60" borderId="18" xfId="0" applyFont="1" applyFill="1" applyBorder="1" applyAlignment="1">
      <alignment vertical="top" wrapText="1"/>
    </xf>
    <xf numFmtId="3" fontId="11" fillId="75" borderId="18" xfId="0" applyNumberFormat="1" applyFont="1" applyFill="1" applyBorder="1" applyAlignment="1">
      <alignment horizontal="right" wrapText="1"/>
    </xf>
    <xf numFmtId="0" fontId="11" fillId="60" borderId="18" xfId="0" applyFont="1" applyFill="1" applyBorder="1" applyAlignment="1">
      <alignment vertical="center" wrapText="1"/>
    </xf>
    <xf numFmtId="3" fontId="11" fillId="63" borderId="18" xfId="0" applyNumberFormat="1" applyFont="1" applyFill="1" applyBorder="1" applyAlignment="1">
      <alignment horizontal="right" wrapText="1"/>
    </xf>
    <xf numFmtId="3" fontId="11" fillId="62" borderId="9" xfId="0" applyNumberFormat="1" applyFont="1" applyFill="1" applyBorder="1" applyAlignment="1">
      <alignment horizontal="left" wrapText="1"/>
    </xf>
    <xf numFmtId="0" fontId="11" fillId="60" borderId="18" xfId="0" applyFont="1" applyFill="1" applyBorder="1"/>
    <xf numFmtId="0" fontId="11" fillId="60" borderId="18" xfId="0" applyFont="1" applyFill="1" applyBorder="1" applyAlignment="1"/>
    <xf numFmtId="0" fontId="11" fillId="60" borderId="18" xfId="0" applyFont="1" applyFill="1" applyBorder="1" applyAlignment="1">
      <alignment horizontal="center"/>
    </xf>
    <xf numFmtId="4" fontId="11" fillId="60" borderId="18" xfId="0" applyNumberFormat="1" applyFont="1" applyFill="1" applyBorder="1" applyAlignment="1"/>
    <xf numFmtId="166" fontId="11" fillId="60" borderId="18" xfId="0" applyNumberFormat="1" applyFont="1" applyFill="1" applyBorder="1" applyAlignment="1">
      <alignment horizontal="right" wrapText="1"/>
    </xf>
    <xf numFmtId="0" fontId="48" fillId="60" borderId="18" xfId="0" applyFont="1" applyFill="1" applyBorder="1" applyAlignment="1">
      <alignment wrapText="1"/>
    </xf>
    <xf numFmtId="0" fontId="11" fillId="62" borderId="18" xfId="0" applyFont="1" applyFill="1" applyBorder="1" applyAlignment="1"/>
    <xf numFmtId="0" fontId="11" fillId="60" borderId="27" xfId="0" applyFont="1" applyFill="1" applyBorder="1" applyAlignment="1">
      <alignment wrapText="1"/>
    </xf>
    <xf numFmtId="14" fontId="11" fillId="62" borderId="18" xfId="0" applyNumberFormat="1" applyFont="1" applyFill="1" applyBorder="1" applyAlignment="1">
      <alignment horizontal="right" wrapText="1"/>
    </xf>
    <xf numFmtId="3" fontId="11" fillId="60" borderId="9" xfId="0" applyNumberFormat="1" applyFont="1" applyFill="1" applyBorder="1" applyAlignment="1">
      <alignment wrapText="1"/>
    </xf>
    <xf numFmtId="168" fontId="14" fillId="60" borderId="18" xfId="0" applyNumberFormat="1" applyFont="1" applyFill="1" applyBorder="1" applyAlignment="1">
      <alignment horizontal="left" wrapText="1"/>
    </xf>
    <xf numFmtId="168" fontId="13" fillId="60" borderId="18" xfId="0" applyNumberFormat="1" applyFont="1" applyFill="1" applyBorder="1" applyAlignment="1">
      <alignment horizontal="left" wrapText="1"/>
    </xf>
    <xf numFmtId="168" fontId="14" fillId="60" borderId="18" xfId="0" applyNumberFormat="1" applyFont="1" applyFill="1" applyBorder="1" applyAlignment="1">
      <alignment horizontal="center" wrapText="1"/>
    </xf>
    <xf numFmtId="166" fontId="11" fillId="73" borderId="18" xfId="0" applyNumberFormat="1" applyFont="1" applyFill="1" applyBorder="1" applyAlignment="1">
      <alignment wrapText="1"/>
    </xf>
    <xf numFmtId="2" fontId="11" fillId="62" borderId="18" xfId="0" applyNumberFormat="1" applyFont="1" applyFill="1" applyBorder="1" applyAlignment="1">
      <alignment horizontal="left" wrapText="1"/>
    </xf>
    <xf numFmtId="0" fontId="11" fillId="70" borderId="15" xfId="0" applyFont="1" applyFill="1" applyBorder="1" applyAlignment="1">
      <alignment wrapText="1"/>
    </xf>
    <xf numFmtId="0" fontId="11" fillId="60" borderId="9" xfId="0" applyFont="1" applyFill="1" applyBorder="1" applyAlignment="1">
      <alignment wrapText="1"/>
    </xf>
    <xf numFmtId="0" fontId="11" fillId="60" borderId="17" xfId="0" applyFont="1" applyFill="1" applyBorder="1" applyAlignment="1">
      <alignment horizontal="right" wrapText="1"/>
    </xf>
    <xf numFmtId="0" fontId="13" fillId="60" borderId="18" xfId="0" applyFont="1" applyFill="1" applyBorder="1" applyAlignment="1"/>
    <xf numFmtId="0" fontId="7" fillId="60" borderId="18" xfId="0" applyFont="1" applyFill="1" applyBorder="1" applyAlignment="1"/>
    <xf numFmtId="3" fontId="11" fillId="60" borderId="15" xfId="0" applyNumberFormat="1" applyFont="1" applyFill="1" applyBorder="1" applyAlignment="1">
      <alignment horizontal="right" wrapText="1"/>
    </xf>
    <xf numFmtId="3" fontId="11" fillId="62" borderId="9" xfId="0" applyNumberFormat="1" applyFont="1" applyFill="1" applyBorder="1" applyAlignment="1">
      <alignment horizontal="right" wrapText="1"/>
    </xf>
    <xf numFmtId="4" fontId="11" fillId="60" borderId="18" xfId="0" applyNumberFormat="1" applyFont="1" applyFill="1" applyBorder="1" applyAlignment="1">
      <alignment horizontal="right" wrapText="1"/>
    </xf>
    <xf numFmtId="3" fontId="11" fillId="60" borderId="0" xfId="0" applyNumberFormat="1" applyFont="1" applyFill="1" applyBorder="1" applyAlignment="1">
      <alignment wrapText="1"/>
    </xf>
    <xf numFmtId="0" fontId="11" fillId="60" borderId="20" xfId="0" applyFont="1" applyFill="1" applyBorder="1" applyAlignment="1">
      <alignment wrapText="1"/>
    </xf>
    <xf numFmtId="0" fontId="7" fillId="60" borderId="21" xfId="0" applyFont="1" applyFill="1" applyBorder="1" applyAlignment="1"/>
    <xf numFmtId="3" fontId="11" fillId="62" borderId="21" xfId="0" applyNumberFormat="1" applyFont="1" applyFill="1" applyBorder="1" applyAlignment="1">
      <alignment wrapText="1"/>
    </xf>
    <xf numFmtId="0" fontId="11" fillId="60" borderId="21" xfId="0" applyFont="1" applyFill="1" applyBorder="1"/>
    <xf numFmtId="0" fontId="11" fillId="60" borderId="21" xfId="0" applyFont="1" applyFill="1" applyBorder="1" applyAlignment="1"/>
    <xf numFmtId="0" fontId="11" fillId="60" borderId="21" xfId="0" applyFont="1" applyFill="1" applyBorder="1" applyAlignment="1">
      <alignment horizontal="center"/>
    </xf>
    <xf numFmtId="0" fontId="11" fillId="62" borderId="21" xfId="0" applyFont="1" applyFill="1" applyBorder="1" applyAlignment="1"/>
    <xf numFmtId="3" fontId="11" fillId="60" borderId="21" xfId="0" applyNumberFormat="1" applyFont="1" applyFill="1" applyBorder="1" applyAlignment="1">
      <alignment wrapText="1"/>
    </xf>
    <xf numFmtId="3" fontId="14" fillId="60" borderId="9" xfId="0" applyNumberFormat="1" applyFont="1" applyFill="1" applyBorder="1" applyAlignment="1"/>
    <xf numFmtId="0" fontId="11" fillId="76" borderId="11" xfId="0" applyFont="1" applyFill="1" applyBorder="1" applyAlignment="1">
      <alignment wrapText="1"/>
    </xf>
    <xf numFmtId="0" fontId="13" fillId="76" borderId="11" xfId="0" applyFont="1" applyFill="1" applyBorder="1" applyAlignment="1">
      <alignment wrapText="1"/>
    </xf>
    <xf numFmtId="3" fontId="11" fillId="76" borderId="11" xfId="0" applyNumberFormat="1" applyFont="1" applyFill="1" applyBorder="1" applyAlignment="1">
      <alignment wrapText="1"/>
    </xf>
    <xf numFmtId="0" fontId="11" fillId="76" borderId="11" xfId="0" applyFont="1" applyFill="1" applyBorder="1" applyAlignment="1">
      <alignment horizontal="center" wrapText="1"/>
    </xf>
    <xf numFmtId="14" fontId="11" fillId="76" borderId="11" xfId="0" applyNumberFormat="1" applyFont="1" applyFill="1" applyBorder="1" applyAlignment="1">
      <alignment horizontal="right" wrapText="1"/>
    </xf>
    <xf numFmtId="0" fontId="11" fillId="76" borderId="11" xfId="0" applyFont="1" applyFill="1" applyBorder="1" applyAlignment="1">
      <alignment horizontal="right" wrapText="1"/>
    </xf>
    <xf numFmtId="0" fontId="7" fillId="60" borderId="17" xfId="0" applyFont="1" applyFill="1" applyBorder="1" applyAlignment="1"/>
    <xf numFmtId="0" fontId="11" fillId="61" borderId="18" xfId="0" applyFont="1" applyFill="1" applyBorder="1"/>
    <xf numFmtId="0" fontId="11" fillId="61" borderId="18" xfId="0" applyFont="1" applyFill="1" applyBorder="1" applyAlignment="1"/>
    <xf numFmtId="0" fontId="11" fillId="61" borderId="18" xfId="0" applyFont="1" applyFill="1" applyBorder="1" applyAlignment="1">
      <alignment horizontal="center"/>
    </xf>
    <xf numFmtId="4" fontId="11" fillId="61" borderId="18" xfId="0" applyNumberFormat="1" applyFont="1" applyFill="1" applyBorder="1" applyAlignment="1"/>
    <xf numFmtId="0" fontId="11" fillId="70" borderId="18" xfId="0" applyFont="1" applyFill="1" applyBorder="1"/>
    <xf numFmtId="4" fontId="11" fillId="70" borderId="18" xfId="0" applyNumberFormat="1" applyFont="1" applyFill="1" applyBorder="1" applyAlignment="1"/>
    <xf numFmtId="0" fontId="7" fillId="60" borderId="17" xfId="0" applyFont="1" applyFill="1" applyBorder="1" applyAlignment="1">
      <alignment horizontal="left" wrapText="1"/>
    </xf>
    <xf numFmtId="0" fontId="11" fillId="60" borderId="17" xfId="0" applyFont="1" applyFill="1" applyBorder="1" applyAlignment="1">
      <alignment wrapText="1"/>
    </xf>
    <xf numFmtId="0" fontId="13" fillId="60" borderId="17" xfId="0" applyFont="1" applyFill="1" applyBorder="1" applyAlignment="1">
      <alignment wrapText="1"/>
    </xf>
    <xf numFmtId="3" fontId="11" fillId="62" borderId="17" xfId="0" applyNumberFormat="1" applyFont="1" applyFill="1" applyBorder="1" applyAlignment="1">
      <alignment wrapText="1"/>
    </xf>
    <xf numFmtId="3" fontId="11" fillId="70" borderId="17" xfId="0" applyNumberFormat="1" applyFont="1" applyFill="1" applyBorder="1" applyAlignment="1">
      <alignment wrapText="1"/>
    </xf>
    <xf numFmtId="170" fontId="11" fillId="62" borderId="18" xfId="0" applyNumberFormat="1" applyFont="1" applyFill="1" applyBorder="1" applyAlignment="1">
      <alignment wrapText="1"/>
    </xf>
    <xf numFmtId="0" fontId="11" fillId="72" borderId="18" xfId="0" applyFont="1" applyFill="1" applyBorder="1" applyAlignment="1">
      <alignment horizontal="right" wrapText="1"/>
    </xf>
    <xf numFmtId="2" fontId="11" fillId="72" borderId="18" xfId="0" applyNumberFormat="1" applyFont="1" applyFill="1" applyBorder="1" applyAlignment="1">
      <alignment horizontal="right" wrapText="1"/>
    </xf>
    <xf numFmtId="0" fontId="7" fillId="0" borderId="18" xfId="0" applyFont="1" applyFill="1" applyBorder="1" applyAlignment="1"/>
    <xf numFmtId="17" fontId="11" fillId="60" borderId="18" xfId="0" applyNumberFormat="1" applyFont="1" applyFill="1" applyBorder="1" applyAlignment="1">
      <alignment horizontal="right" wrapText="1"/>
    </xf>
    <xf numFmtId="0" fontId="11" fillId="62" borderId="18" xfId="0" applyFont="1" applyFill="1" applyBorder="1"/>
    <xf numFmtId="3" fontId="11" fillId="70" borderId="9" xfId="0" applyNumberFormat="1" applyFont="1" applyFill="1" applyBorder="1" applyAlignment="1">
      <alignment wrapText="1"/>
    </xf>
    <xf numFmtId="0" fontId="11" fillId="70" borderId="9" xfId="0" applyFont="1" applyFill="1" applyBorder="1" applyAlignment="1">
      <alignment wrapText="1"/>
    </xf>
    <xf numFmtId="3" fontId="11" fillId="63" borderId="9" xfId="0" applyNumberFormat="1" applyFont="1" applyFill="1" applyBorder="1" applyAlignment="1">
      <alignment wrapText="1"/>
    </xf>
    <xf numFmtId="0" fontId="7" fillId="60" borderId="17" xfId="0" applyFont="1" applyFill="1" applyBorder="1" applyAlignment="1">
      <alignment wrapText="1"/>
    </xf>
    <xf numFmtId="0" fontId="11" fillId="60" borderId="17" xfId="0" applyFont="1" applyFill="1" applyBorder="1" applyAlignment="1">
      <alignment horizontal="center" wrapText="1"/>
    </xf>
    <xf numFmtId="0" fontId="11" fillId="62" borderId="17" xfId="0" applyFont="1" applyFill="1" applyBorder="1" applyAlignment="1">
      <alignment wrapText="1"/>
    </xf>
    <xf numFmtId="3" fontId="11" fillId="60" borderId="17" xfId="0" applyNumberFormat="1" applyFont="1" applyFill="1" applyBorder="1" applyAlignment="1">
      <alignment wrapText="1"/>
    </xf>
    <xf numFmtId="0" fontId="11" fillId="60" borderId="22" xfId="0" applyFont="1" applyFill="1" applyBorder="1" applyAlignment="1">
      <alignment wrapText="1"/>
    </xf>
    <xf numFmtId="3" fontId="11" fillId="60" borderId="9" xfId="0" applyNumberFormat="1" applyFont="1" applyFill="1" applyBorder="1" applyAlignment="1">
      <alignment horizontal="right" wrapText="1"/>
    </xf>
    <xf numFmtId="166" fontId="11" fillId="70" borderId="18" xfId="0" applyNumberFormat="1" applyFont="1" applyFill="1" applyBorder="1" applyAlignment="1">
      <alignment wrapText="1"/>
    </xf>
    <xf numFmtId="3" fontId="11" fillId="75" borderId="17" xfId="0" applyNumberFormat="1" applyFont="1" applyFill="1" applyBorder="1" applyAlignment="1">
      <alignment wrapText="1"/>
    </xf>
    <xf numFmtId="14" fontId="11" fillId="60" borderId="17" xfId="0" applyNumberFormat="1" applyFont="1" applyFill="1" applyBorder="1" applyAlignment="1">
      <alignment horizontal="right" wrapText="1"/>
    </xf>
    <xf numFmtId="3" fontId="11" fillId="60" borderId="17" xfId="0" applyNumberFormat="1" applyFont="1" applyFill="1" applyBorder="1" applyAlignment="1">
      <alignment horizontal="right" wrapText="1"/>
    </xf>
    <xf numFmtId="2" fontId="11" fillId="60" borderId="17" xfId="0" applyNumberFormat="1" applyFont="1" applyFill="1" applyBorder="1" applyAlignment="1">
      <alignment horizontal="right" wrapText="1"/>
    </xf>
    <xf numFmtId="0" fontId="11" fillId="60" borderId="17" xfId="0" applyFont="1" applyFill="1" applyBorder="1" applyAlignment="1">
      <alignment horizontal="left" wrapText="1"/>
    </xf>
    <xf numFmtId="0" fontId="7" fillId="60" borderId="9" xfId="0" applyFont="1" applyFill="1" applyBorder="1" applyAlignment="1">
      <alignment horizontal="left" wrapText="1"/>
    </xf>
    <xf numFmtId="166" fontId="11" fillId="60" borderId="17" xfId="0" applyNumberFormat="1" applyFont="1" applyFill="1" applyBorder="1" applyAlignment="1">
      <alignment wrapText="1"/>
    </xf>
    <xf numFmtId="166" fontId="11" fillId="60" borderId="17" xfId="0" applyNumberFormat="1" applyFont="1" applyFill="1" applyBorder="1" applyAlignment="1">
      <alignment horizontal="right" wrapText="1"/>
    </xf>
    <xf numFmtId="3" fontId="11" fillId="63" borderId="17" xfId="0" applyNumberFormat="1" applyFont="1" applyFill="1" applyBorder="1" applyAlignment="1">
      <alignment wrapText="1"/>
    </xf>
    <xf numFmtId="0" fontId="31" fillId="41" borderId="9" xfId="0" applyFont="1" applyFill="1" applyBorder="1" applyAlignment="1"/>
    <xf numFmtId="0" fontId="0" fillId="0" borderId="9" xfId="0" applyFont="1" applyFill="1" applyBorder="1" applyAlignment="1"/>
    <xf numFmtId="0" fontId="31" fillId="0" borderId="0" xfId="0" applyFont="1" applyFill="1" applyBorder="1" applyAlignment="1"/>
    <xf numFmtId="0" fontId="0" fillId="0" borderId="0" xfId="0" applyFont="1" applyFill="1" applyBorder="1" applyAlignment="1"/>
    <xf numFmtId="0" fontId="0" fillId="0" borderId="5" xfId="0" applyFont="1" applyBorder="1" applyAlignment="1"/>
    <xf numFmtId="0" fontId="7" fillId="0" borderId="18" xfId="0" applyFont="1" applyFill="1" applyBorder="1" applyAlignment="1">
      <alignment horizontal="left" wrapText="1"/>
    </xf>
    <xf numFmtId="166" fontId="11" fillId="75" borderId="18" xfId="0" applyNumberFormat="1" applyFont="1" applyFill="1" applyBorder="1" applyAlignment="1">
      <alignment horizontal="left" wrapText="1"/>
    </xf>
    <xf numFmtId="166" fontId="11" fillId="60" borderId="18" xfId="0" applyNumberFormat="1" applyFont="1" applyFill="1" applyBorder="1" applyAlignment="1">
      <alignment horizontal="left" wrapText="1"/>
    </xf>
    <xf numFmtId="165" fontId="14" fillId="63" borderId="18" xfId="0" applyNumberFormat="1" applyFont="1" applyFill="1" applyBorder="1" applyAlignment="1">
      <alignment horizontal="left" wrapText="1"/>
    </xf>
    <xf numFmtId="0" fontId="21" fillId="60" borderId="18" xfId="0" applyFont="1" applyFill="1" applyBorder="1"/>
    <xf numFmtId="3" fontId="11" fillId="0" borderId="9" xfId="0" applyNumberFormat="1" applyFont="1" applyFill="1" applyBorder="1" applyAlignment="1">
      <alignment wrapText="1"/>
    </xf>
    <xf numFmtId="166" fontId="11" fillId="60" borderId="17" xfId="0" applyNumberFormat="1" applyFont="1" applyFill="1" applyBorder="1" applyAlignment="1">
      <alignment horizontal="left" wrapText="1"/>
    </xf>
    <xf numFmtId="1" fontId="11" fillId="60" borderId="18" xfId="0" applyNumberFormat="1" applyFont="1" applyFill="1" applyBorder="1" applyAlignment="1">
      <alignment horizontal="left" wrapText="1"/>
    </xf>
    <xf numFmtId="3" fontId="11" fillId="62" borderId="18" xfId="0" applyNumberFormat="1" applyFont="1" applyFill="1" applyBorder="1" applyAlignment="1">
      <alignment horizontal="left" wrapText="1"/>
    </xf>
    <xf numFmtId="165" fontId="14" fillId="62" borderId="18" xfId="0" applyNumberFormat="1" applyFont="1" applyFill="1" applyBorder="1" applyAlignment="1">
      <alignment horizontal="left" wrapText="1"/>
    </xf>
    <xf numFmtId="1" fontId="11" fillId="60" borderId="18" xfId="0" applyNumberFormat="1" applyFont="1" applyFill="1" applyBorder="1" applyAlignment="1">
      <alignment horizontal="right" wrapText="1"/>
    </xf>
    <xf numFmtId="166" fontId="11" fillId="62" borderId="18" xfId="0" applyNumberFormat="1" applyFont="1" applyFill="1" applyBorder="1" applyAlignment="1">
      <alignment horizontal="left" wrapText="1"/>
    </xf>
    <xf numFmtId="166" fontId="11" fillId="72" borderId="18" xfId="0" applyNumberFormat="1" applyFont="1" applyFill="1" applyBorder="1" applyAlignment="1">
      <alignment horizontal="left" wrapText="1"/>
    </xf>
    <xf numFmtId="0" fontId="11" fillId="72" borderId="15" xfId="0" applyFont="1" applyFill="1" applyBorder="1" applyAlignment="1">
      <alignment wrapText="1"/>
    </xf>
    <xf numFmtId="165" fontId="11" fillId="63" borderId="18" xfId="0" applyNumberFormat="1" applyFont="1" applyFill="1" applyBorder="1" applyAlignment="1">
      <alignment wrapText="1"/>
    </xf>
    <xf numFmtId="165" fontId="14" fillId="60" borderId="18" xfId="0" applyNumberFormat="1" applyFont="1" applyFill="1" applyBorder="1" applyAlignment="1">
      <alignment horizontal="left" wrapText="1"/>
    </xf>
    <xf numFmtId="0" fontId="18" fillId="71" borderId="18" xfId="0" applyFont="1" applyFill="1" applyBorder="1"/>
    <xf numFmtId="0" fontId="19" fillId="60" borderId="18" xfId="0" applyFont="1" applyFill="1" applyBorder="1" applyAlignment="1">
      <alignment wrapText="1"/>
    </xf>
    <xf numFmtId="166" fontId="11" fillId="75" borderId="0" xfId="0" applyNumberFormat="1" applyFont="1" applyFill="1" applyBorder="1" applyAlignment="1">
      <alignment horizontal="left" wrapText="1"/>
    </xf>
    <xf numFmtId="0" fontId="21" fillId="60" borderId="18" xfId="0" applyFont="1" applyFill="1" applyBorder="1" applyAlignment="1">
      <alignment wrapText="1"/>
    </xf>
    <xf numFmtId="0" fontId="21" fillId="60" borderId="18" xfId="0" applyFont="1" applyFill="1" applyBorder="1" applyAlignment="1"/>
    <xf numFmtId="0" fontId="21" fillId="62" borderId="18" xfId="0" applyFont="1" applyFill="1" applyBorder="1" applyAlignment="1">
      <alignment wrapText="1"/>
    </xf>
    <xf numFmtId="4" fontId="21" fillId="62" borderId="18" xfId="0" applyNumberFormat="1" applyFont="1" applyFill="1" applyBorder="1" applyAlignment="1"/>
    <xf numFmtId="0" fontId="21" fillId="60" borderId="15" xfId="0" applyFont="1" applyFill="1" applyBorder="1" applyAlignment="1">
      <alignment wrapText="1"/>
    </xf>
    <xf numFmtId="3" fontId="21" fillId="62" borderId="18" xfId="0" applyNumberFormat="1" applyFont="1" applyFill="1" applyBorder="1" applyAlignment="1">
      <alignment wrapText="1"/>
    </xf>
    <xf numFmtId="3" fontId="21" fillId="63" borderId="18" xfId="0" applyNumberFormat="1" applyFont="1" applyFill="1" applyBorder="1" applyAlignment="1">
      <alignment wrapText="1"/>
    </xf>
    <xf numFmtId="0" fontId="7" fillId="61" borderId="9" xfId="0" applyFont="1" applyFill="1" applyBorder="1" applyAlignment="1">
      <alignment wrapText="1"/>
    </xf>
    <xf numFmtId="1" fontId="11" fillId="72" borderId="18" xfId="0" applyNumberFormat="1" applyFont="1" applyFill="1" applyBorder="1" applyAlignment="1">
      <alignment horizontal="right" wrapText="1"/>
    </xf>
    <xf numFmtId="171" fontId="11" fillId="60" borderId="18" xfId="0" applyNumberFormat="1" applyFont="1" applyFill="1" applyBorder="1" applyAlignment="1">
      <alignment horizontal="right" wrapText="1"/>
    </xf>
    <xf numFmtId="0" fontId="18" fillId="60" borderId="18" xfId="0" applyFont="1" applyFill="1" applyBorder="1" applyAlignment="1">
      <alignment horizontal="right" wrapText="1"/>
    </xf>
    <xf numFmtId="3" fontId="11" fillId="60" borderId="18" xfId="0" applyNumberFormat="1" applyFont="1" applyFill="1" applyBorder="1" applyAlignment="1">
      <alignment horizontal="left" wrapText="1"/>
    </xf>
    <xf numFmtId="0" fontId="37" fillId="0" borderId="0" xfId="0" applyFont="1" applyAlignment="1">
      <alignment wrapText="1"/>
    </xf>
    <xf numFmtId="0" fontId="55" fillId="22" borderId="17" xfId="0" applyFont="1" applyFill="1" applyBorder="1" applyAlignment="1">
      <alignment wrapText="1"/>
    </xf>
    <xf numFmtId="0" fontId="55" fillId="22" borderId="18" xfId="0" applyFont="1" applyFill="1" applyBorder="1" applyAlignment="1">
      <alignment wrapText="1"/>
    </xf>
    <xf numFmtId="3" fontId="55" fillId="22" borderId="18" xfId="0" applyNumberFormat="1" applyFont="1" applyFill="1" applyBorder="1" applyAlignment="1">
      <alignment wrapText="1"/>
    </xf>
    <xf numFmtId="0" fontId="37" fillId="21" borderId="21" xfId="0" applyFont="1" applyFill="1" applyBorder="1" applyAlignment="1">
      <alignment wrapText="1"/>
    </xf>
    <xf numFmtId="0" fontId="25" fillId="66" borderId="9" xfId="0" applyFont="1" applyFill="1" applyBorder="1" applyAlignment="1"/>
    <xf numFmtId="0" fontId="37" fillId="21" borderId="9" xfId="0" applyFont="1" applyFill="1" applyBorder="1" applyAlignment="1">
      <alignment wrapText="1"/>
    </xf>
    <xf numFmtId="0" fontId="25" fillId="0" borderId="0" xfId="0" applyFont="1" applyAlignment="1">
      <alignment wrapText="1"/>
    </xf>
    <xf numFmtId="0" fontId="6" fillId="83" borderId="9" xfId="0" applyFont="1" applyFill="1" applyBorder="1" applyAlignment="1">
      <alignment horizontal="center" wrapText="1"/>
    </xf>
    <xf numFmtId="0" fontId="37" fillId="0" borderId="9" xfId="0" applyFont="1" applyBorder="1" applyAlignment="1">
      <alignment wrapText="1"/>
    </xf>
    <xf numFmtId="0" fontId="9" fillId="0" borderId="0" xfId="0" applyFont="1"/>
    <xf numFmtId="0" fontId="58" fillId="41" borderId="18" xfId="0" applyFont="1" applyFill="1" applyBorder="1"/>
    <xf numFmtId="0" fontId="5" fillId="12" borderId="18" xfId="0" applyFont="1" applyFill="1" applyBorder="1" applyAlignment="1">
      <alignment horizontal="center" wrapText="1"/>
    </xf>
    <xf numFmtId="0" fontId="58" fillId="86" borderId="18" xfId="0" applyFont="1" applyFill="1" applyBorder="1"/>
    <xf numFmtId="3" fontId="58" fillId="87" borderId="18" xfId="0" applyNumberFormat="1" applyFont="1" applyFill="1" applyBorder="1"/>
    <xf numFmtId="3" fontId="5" fillId="87" borderId="18" xfId="0" applyNumberFormat="1" applyFont="1" applyFill="1" applyBorder="1"/>
    <xf numFmtId="0" fontId="26" fillId="0" borderId="0" xfId="0" applyFont="1"/>
    <xf numFmtId="0" fontId="5" fillId="12" borderId="18" xfId="0" applyFont="1" applyFill="1" applyBorder="1"/>
    <xf numFmtId="0" fontId="59" fillId="0" borderId="0" xfId="0" applyFont="1"/>
    <xf numFmtId="0" fontId="58" fillId="0" borderId="0" xfId="0" applyFont="1"/>
    <xf numFmtId="0" fontId="58" fillId="55" borderId="18" xfId="0" applyFont="1" applyFill="1" applyBorder="1"/>
    <xf numFmtId="0" fontId="5" fillId="52" borderId="18" xfId="0" applyFont="1" applyFill="1" applyBorder="1" applyAlignment="1">
      <alignment horizontal="center" wrapText="1"/>
    </xf>
    <xf numFmtId="0" fontId="58" fillId="88" borderId="18" xfId="0" applyFont="1" applyFill="1" applyBorder="1"/>
    <xf numFmtId="0" fontId="5" fillId="52" borderId="30" xfId="0" applyFont="1" applyFill="1" applyBorder="1"/>
    <xf numFmtId="0" fontId="58" fillId="55" borderId="32" xfId="0" applyFont="1" applyFill="1" applyBorder="1"/>
    <xf numFmtId="0" fontId="5" fillId="52" borderId="32" xfId="0" applyFont="1" applyFill="1" applyBorder="1" applyAlignment="1">
      <alignment horizontal="center" wrapText="1"/>
    </xf>
    <xf numFmtId="0" fontId="5" fillId="52" borderId="18" xfId="0" applyFont="1" applyFill="1" applyBorder="1"/>
    <xf numFmtId="0" fontId="31" fillId="0" borderId="0" xfId="0" applyFont="1"/>
    <xf numFmtId="0" fontId="0" fillId="0" borderId="0" xfId="0" applyFont="1"/>
    <xf numFmtId="0" fontId="12" fillId="0" borderId="0" xfId="6" applyFont="1"/>
    <xf numFmtId="0" fontId="12" fillId="0" borderId="0" xfId="7" applyFont="1"/>
    <xf numFmtId="0" fontId="12" fillId="0" borderId="0" xfId="0" applyFont="1"/>
    <xf numFmtId="0" fontId="31" fillId="0" borderId="0" xfId="0" applyFont="1" applyAlignment="1"/>
    <xf numFmtId="0" fontId="55" fillId="0" borderId="0" xfId="0" applyFont="1" applyAlignment="1">
      <alignment wrapText="1"/>
    </xf>
    <xf numFmtId="0" fontId="0" fillId="0" borderId="0" xfId="0" applyFont="1" applyAlignment="1">
      <alignment wrapText="1"/>
    </xf>
    <xf numFmtId="0" fontId="12" fillId="0" borderId="0" xfId="0" applyFont="1" applyAlignment="1"/>
    <xf numFmtId="0" fontId="60" fillId="0" borderId="0" xfId="0" applyFont="1"/>
    <xf numFmtId="0" fontId="61" fillId="0" borderId="0" xfId="0" applyFont="1"/>
    <xf numFmtId="0" fontId="62" fillId="0" borderId="0" xfId="0" applyFont="1"/>
    <xf numFmtId="0" fontId="63" fillId="0" borderId="0" xfId="0" applyFont="1" applyAlignment="1">
      <alignment wrapText="1"/>
    </xf>
    <xf numFmtId="3" fontId="63" fillId="0" borderId="0" xfId="0" applyNumberFormat="1" applyFont="1" applyAlignment="1">
      <alignment wrapText="1"/>
    </xf>
    <xf numFmtId="0" fontId="61" fillId="0" borderId="0" xfId="0" applyFont="1" applyAlignment="1">
      <alignment wrapText="1"/>
    </xf>
    <xf numFmtId="0" fontId="61" fillId="0" borderId="0" xfId="0" applyFont="1" applyAlignment="1"/>
    <xf numFmtId="0" fontId="64" fillId="0" borderId="0" xfId="0" applyFont="1"/>
    <xf numFmtId="0" fontId="64" fillId="0" borderId="0" xfId="0" applyFont="1" applyAlignment="1"/>
    <xf numFmtId="0" fontId="60" fillId="0" borderId="0" xfId="0" applyFont="1" applyAlignment="1"/>
    <xf numFmtId="0" fontId="52" fillId="0" borderId="0" xfId="0" applyFont="1"/>
    <xf numFmtId="3" fontId="61" fillId="0" borderId="0" xfId="0" applyNumberFormat="1" applyFont="1" applyAlignment="1"/>
    <xf numFmtId="0" fontId="62" fillId="0" borderId="0" xfId="0" applyFont="1" applyAlignment="1">
      <alignment wrapText="1"/>
    </xf>
    <xf numFmtId="0" fontId="5" fillId="59" borderId="0" xfId="0" applyFont="1" applyFill="1" applyBorder="1"/>
    <xf numFmtId="0" fontId="5" fillId="12" borderId="21" xfId="0" applyFont="1" applyFill="1" applyBorder="1"/>
    <xf numFmtId="3" fontId="5" fillId="87" borderId="21" xfId="0" applyNumberFormat="1" applyFont="1" applyFill="1" applyBorder="1"/>
    <xf numFmtId="0" fontId="0" fillId="21" borderId="0" xfId="0" applyFill="1"/>
    <xf numFmtId="0" fontId="31" fillId="0" borderId="9" xfId="0" applyFont="1" applyBorder="1" applyAlignment="1">
      <alignment horizontal="center"/>
    </xf>
    <xf numFmtId="0" fontId="31" fillId="0" borderId="9" xfId="0" applyFont="1" applyBorder="1" applyAlignment="1">
      <alignment horizontal="center" wrapText="1"/>
    </xf>
    <xf numFmtId="0" fontId="66" fillId="4" borderId="9" xfId="0" applyFont="1" applyFill="1" applyBorder="1" applyAlignment="1"/>
    <xf numFmtId="0" fontId="66" fillId="2" borderId="9" xfId="0" applyFont="1" applyFill="1" applyBorder="1" applyAlignment="1"/>
    <xf numFmtId="0" fontId="66" fillId="89" borderId="9" xfId="0" applyFont="1" applyFill="1" applyBorder="1" applyAlignment="1"/>
    <xf numFmtId="0" fontId="66" fillId="89" borderId="0" xfId="0" applyFont="1" applyFill="1" applyBorder="1" applyAlignment="1"/>
    <xf numFmtId="0" fontId="5" fillId="0" borderId="0" xfId="0" applyFont="1" applyFill="1" applyBorder="1" applyAlignment="1">
      <alignment horizontal="left" wrapText="1"/>
    </xf>
    <xf numFmtId="0" fontId="12" fillId="0" borderId="0" xfId="0" applyFont="1" applyFill="1" applyBorder="1"/>
    <xf numFmtId="0" fontId="12" fillId="0" borderId="0" xfId="0" applyFont="1" applyBorder="1"/>
    <xf numFmtId="0" fontId="65" fillId="0" borderId="0" xfId="0" applyFont="1"/>
    <xf numFmtId="0" fontId="11" fillId="2" borderId="22" xfId="0" applyFont="1" applyFill="1" applyBorder="1" applyAlignment="1">
      <alignment wrapText="1"/>
    </xf>
    <xf numFmtId="0" fontId="11" fillId="18" borderId="22" xfId="0" applyFont="1" applyFill="1" applyBorder="1" applyAlignment="1">
      <alignment wrapText="1"/>
    </xf>
    <xf numFmtId="0" fontId="13" fillId="2" borderId="22" xfId="0" applyFont="1" applyFill="1" applyBorder="1" applyAlignment="1">
      <alignment wrapText="1"/>
    </xf>
    <xf numFmtId="0" fontId="11" fillId="2" borderId="22" xfId="0" applyFont="1" applyFill="1" applyBorder="1" applyAlignment="1">
      <alignment horizontal="center" wrapText="1"/>
    </xf>
    <xf numFmtId="3" fontId="14" fillId="2" borderId="22" xfId="0" applyNumberFormat="1" applyFont="1" applyFill="1" applyBorder="1" applyAlignment="1">
      <alignment horizontal="right"/>
    </xf>
    <xf numFmtId="3" fontId="11" fillId="2" borderId="22" xfId="0" applyNumberFormat="1" applyFont="1" applyFill="1" applyBorder="1" applyAlignment="1">
      <alignment wrapText="1"/>
    </xf>
    <xf numFmtId="3" fontId="14" fillId="2" borderId="23" xfId="0" applyNumberFormat="1" applyFont="1" applyFill="1" applyBorder="1" applyAlignment="1">
      <alignment horizontal="right"/>
    </xf>
    <xf numFmtId="0" fontId="17" fillId="26" borderId="17" xfId="0" applyFont="1" applyFill="1" applyBorder="1" applyAlignment="1">
      <alignment horizontal="left" wrapText="1"/>
    </xf>
    <xf numFmtId="0" fontId="14" fillId="26" borderId="17" xfId="0" applyFont="1" applyFill="1" applyBorder="1" applyAlignment="1">
      <alignment horizontal="left" wrapText="1"/>
    </xf>
    <xf numFmtId="0" fontId="14" fillId="26" borderId="17" xfId="0" applyFont="1" applyFill="1" applyBorder="1" applyAlignment="1">
      <alignment wrapText="1"/>
    </xf>
    <xf numFmtId="0" fontId="14" fillId="26" borderId="17" xfId="0" applyFont="1" applyFill="1" applyBorder="1" applyAlignment="1">
      <alignment horizontal="center" wrapText="1"/>
    </xf>
    <xf numFmtId="3" fontId="14" fillId="44" borderId="17" xfId="0" applyNumberFormat="1" applyFont="1" applyFill="1" applyBorder="1" applyAlignment="1"/>
    <xf numFmtId="3" fontId="14" fillId="26" borderId="17" xfId="0" applyNumberFormat="1" applyFont="1" applyFill="1" applyBorder="1" applyAlignment="1">
      <alignment horizontal="right"/>
    </xf>
    <xf numFmtId="3" fontId="11" fillId="26" borderId="17" xfId="0" applyNumberFormat="1" applyFont="1" applyFill="1" applyBorder="1" applyAlignment="1">
      <alignment wrapText="1"/>
    </xf>
    <xf numFmtId="3" fontId="11" fillId="26" borderId="17" xfId="0" applyNumberFormat="1" applyFont="1" applyFill="1" applyBorder="1" applyAlignment="1">
      <alignment horizontal="right" wrapText="1"/>
    </xf>
    <xf numFmtId="0" fontId="11" fillId="26" borderId="17" xfId="0" applyFont="1" applyFill="1" applyBorder="1" applyAlignment="1">
      <alignment horizontal="right" wrapText="1"/>
    </xf>
    <xf numFmtId="165" fontId="14" fillId="26" borderId="17" xfId="0" applyNumberFormat="1" applyFont="1" applyFill="1" applyBorder="1"/>
    <xf numFmtId="0" fontId="14" fillId="26" borderId="17" xfId="0" applyFont="1" applyFill="1" applyBorder="1" applyAlignment="1">
      <alignment vertical="top" wrapText="1"/>
    </xf>
    <xf numFmtId="3" fontId="11" fillId="4" borderId="18" xfId="0" applyNumberFormat="1" applyFont="1" applyFill="1" applyBorder="1"/>
    <xf numFmtId="0" fontId="0" fillId="0" borderId="9" xfId="0" applyBorder="1"/>
    <xf numFmtId="0" fontId="67" fillId="4" borderId="9" xfId="0" applyFont="1" applyFill="1" applyBorder="1" applyAlignment="1"/>
    <xf numFmtId="0" fontId="67" fillId="4" borderId="9" xfId="0" applyFont="1" applyFill="1" applyBorder="1" applyAlignment="1">
      <alignment wrapText="1"/>
    </xf>
    <xf numFmtId="3" fontId="67" fillId="4" borderId="9" xfId="0" applyNumberFormat="1" applyFont="1" applyFill="1" applyBorder="1" applyAlignment="1"/>
    <xf numFmtId="0" fontId="0" fillId="41" borderId="11" xfId="0" applyFont="1" applyFill="1" applyBorder="1" applyAlignment="1"/>
    <xf numFmtId="0" fontId="0" fillId="41" borderId="11" xfId="0" applyFont="1" applyFill="1" applyBorder="1" applyAlignment="1">
      <alignment horizontal="center"/>
    </xf>
    <xf numFmtId="0" fontId="11" fillId="22" borderId="23" xfId="2" applyFont="1" applyFill="1" applyBorder="1" applyAlignment="1">
      <alignment wrapText="1"/>
    </xf>
    <xf numFmtId="4" fontId="61" fillId="0" borderId="0" xfId="0" applyNumberFormat="1" applyFont="1"/>
    <xf numFmtId="0" fontId="11" fillId="27" borderId="22" xfId="0" applyFont="1" applyFill="1" applyBorder="1" applyAlignment="1">
      <alignment wrapText="1"/>
    </xf>
    <xf numFmtId="0" fontId="11" fillId="17" borderId="22" xfId="0" applyFont="1" applyFill="1" applyBorder="1" applyAlignment="1">
      <alignment wrapText="1"/>
    </xf>
    <xf numFmtId="0" fontId="11" fillId="60" borderId="15" xfId="0" applyFont="1" applyFill="1" applyBorder="1" applyAlignment="1">
      <alignment horizontal="right" wrapText="1"/>
    </xf>
    <xf numFmtId="0" fontId="7" fillId="60" borderId="9" xfId="0" applyFont="1" applyFill="1" applyBorder="1" applyAlignment="1"/>
    <xf numFmtId="0" fontId="13" fillId="60" borderId="9" xfId="0" applyFont="1" applyFill="1" applyBorder="1" applyAlignment="1">
      <alignment wrapText="1"/>
    </xf>
    <xf numFmtId="14" fontId="11" fillId="60" borderId="9" xfId="0" applyNumberFormat="1" applyFont="1" applyFill="1" applyBorder="1" applyAlignment="1">
      <alignment horizontal="right" wrapText="1"/>
    </xf>
    <xf numFmtId="3" fontId="11" fillId="91" borderId="18" xfId="0" applyNumberFormat="1" applyFont="1" applyFill="1" applyBorder="1" applyAlignment="1">
      <alignment wrapText="1"/>
    </xf>
    <xf numFmtId="0" fontId="11" fillId="18" borderId="18" xfId="2" applyFont="1" applyFill="1" applyBorder="1" applyAlignment="1">
      <alignment horizontal="left" wrapText="1"/>
    </xf>
    <xf numFmtId="3" fontId="67" fillId="2" borderId="9" xfId="0" applyNumberFormat="1" applyFont="1" applyFill="1" applyBorder="1" applyAlignment="1"/>
    <xf numFmtId="0" fontId="13" fillId="60" borderId="20" xfId="0" applyFont="1" applyFill="1" applyBorder="1" applyAlignment="1">
      <alignment wrapText="1"/>
    </xf>
    <xf numFmtId="17" fontId="21" fillId="60" borderId="18" xfId="0" applyNumberFormat="1" applyFont="1" applyFill="1" applyBorder="1" applyAlignment="1"/>
    <xf numFmtId="49" fontId="11" fillId="60" borderId="21" xfId="0" applyNumberFormat="1" applyFont="1" applyFill="1" applyBorder="1" applyAlignment="1">
      <alignment horizontal="right" wrapText="1"/>
    </xf>
    <xf numFmtId="0" fontId="26" fillId="0" borderId="0" xfId="0" applyFont="1" applyBorder="1"/>
    <xf numFmtId="3" fontId="9" fillId="0" borderId="0" xfId="0" applyNumberFormat="1" applyFont="1"/>
    <xf numFmtId="10" fontId="30" fillId="0" borderId="9" xfId="0" applyNumberFormat="1" applyFont="1" applyBorder="1"/>
    <xf numFmtId="0" fontId="30" fillId="12" borderId="9" xfId="0" applyFont="1" applyFill="1" applyBorder="1"/>
    <xf numFmtId="0" fontId="9" fillId="0" borderId="0" xfId="0" applyFont="1" applyBorder="1"/>
    <xf numFmtId="2" fontId="11" fillId="60" borderId="9" xfId="0" applyNumberFormat="1" applyFont="1" applyFill="1" applyBorder="1" applyAlignment="1">
      <alignment horizontal="right" wrapText="1"/>
    </xf>
    <xf numFmtId="0" fontId="30" fillId="52" borderId="0" xfId="0" applyFont="1" applyFill="1" applyBorder="1"/>
    <xf numFmtId="0" fontId="5" fillId="59" borderId="10" xfId="0" applyFont="1" applyFill="1" applyBorder="1"/>
    <xf numFmtId="3" fontId="58" fillId="87" borderId="21" xfId="0" applyNumberFormat="1" applyFont="1" applyFill="1" applyBorder="1"/>
    <xf numFmtId="3" fontId="58" fillId="87" borderId="9" xfId="0" applyNumberFormat="1" applyFont="1" applyFill="1" applyBorder="1"/>
    <xf numFmtId="3" fontId="5" fillId="87" borderId="9" xfId="0" applyNumberFormat="1" applyFont="1" applyFill="1" applyBorder="1"/>
    <xf numFmtId="10" fontId="73" fillId="0" borderId="9" xfId="0" applyNumberFormat="1" applyFont="1" applyBorder="1"/>
    <xf numFmtId="0" fontId="67" fillId="2" borderId="22" xfId="0" applyFont="1" applyFill="1" applyBorder="1" applyAlignment="1"/>
    <xf numFmtId="0" fontId="14" fillId="21" borderId="9" xfId="0" applyFont="1" applyFill="1" applyBorder="1" applyAlignment="1">
      <alignment horizontal="left" wrapText="1"/>
    </xf>
    <xf numFmtId="0" fontId="11" fillId="21" borderId="9" xfId="0" applyFont="1" applyFill="1" applyBorder="1" applyAlignment="1">
      <alignment wrapText="1"/>
    </xf>
    <xf numFmtId="0" fontId="26" fillId="35" borderId="0" xfId="0" applyFont="1" applyFill="1" applyBorder="1" applyAlignment="1">
      <alignment wrapText="1"/>
    </xf>
    <xf numFmtId="3" fontId="30" fillId="0" borderId="0" xfId="0" applyNumberFormat="1" applyFont="1" applyFill="1" applyBorder="1" applyAlignment="1">
      <alignment wrapText="1"/>
    </xf>
    <xf numFmtId="3" fontId="56" fillId="22" borderId="0" xfId="0" applyNumberFormat="1" applyFont="1" applyFill="1" applyBorder="1" applyAlignment="1">
      <alignment wrapText="1"/>
    </xf>
    <xf numFmtId="0" fontId="5" fillId="94" borderId="18" xfId="0" applyFont="1" applyFill="1" applyBorder="1" applyAlignment="1">
      <alignment horizontal="center" wrapText="1"/>
    </xf>
    <xf numFmtId="3" fontId="11" fillId="62" borderId="18" xfId="0" applyNumberFormat="1" applyFont="1" applyFill="1" applyBorder="1" applyAlignment="1"/>
    <xf numFmtId="0" fontId="11" fillId="61" borderId="17" xfId="0" applyFont="1" applyFill="1" applyBorder="1" applyAlignment="1">
      <alignment wrapText="1"/>
    </xf>
    <xf numFmtId="0" fontId="11" fillId="62" borderId="17" xfId="0" applyFont="1" applyFill="1" applyBorder="1" applyAlignment="1">
      <alignment horizontal="left" wrapText="1"/>
    </xf>
    <xf numFmtId="0" fontId="7" fillId="60" borderId="9" xfId="0" applyFont="1" applyFill="1" applyBorder="1" applyAlignment="1">
      <alignment wrapText="1"/>
    </xf>
    <xf numFmtId="0" fontId="11" fillId="71" borderId="15" xfId="0" applyFont="1" applyFill="1" applyBorder="1" applyAlignment="1">
      <alignment wrapText="1"/>
    </xf>
    <xf numFmtId="0" fontId="11" fillId="60" borderId="10" xfId="0" applyFont="1" applyFill="1" applyBorder="1" applyAlignment="1">
      <alignment wrapText="1"/>
    </xf>
    <xf numFmtId="3" fontId="11" fillId="62" borderId="15" xfId="0" applyNumberFormat="1" applyFont="1" applyFill="1" applyBorder="1" applyAlignment="1">
      <alignment wrapText="1"/>
    </xf>
    <xf numFmtId="0" fontId="11" fillId="62" borderId="21" xfId="0" applyFont="1" applyFill="1" applyBorder="1" applyAlignment="1">
      <alignment wrapText="1"/>
    </xf>
    <xf numFmtId="0" fontId="11" fillId="70" borderId="17" xfId="0" applyFont="1" applyFill="1" applyBorder="1" applyAlignment="1">
      <alignment wrapText="1"/>
    </xf>
    <xf numFmtId="0" fontId="67" fillId="2" borderId="18" xfId="0" applyFont="1" applyFill="1" applyBorder="1" applyAlignment="1">
      <alignment wrapText="1"/>
    </xf>
    <xf numFmtId="0" fontId="0" fillId="2" borderId="18" xfId="0" applyFill="1" applyBorder="1"/>
    <xf numFmtId="0" fontId="11" fillId="61" borderId="21" xfId="0" applyFont="1" applyFill="1" applyBorder="1" applyAlignment="1">
      <alignment wrapText="1"/>
    </xf>
    <xf numFmtId="0" fontId="13" fillId="60" borderId="9" xfId="0" applyFont="1" applyFill="1" applyBorder="1" applyAlignment="1"/>
    <xf numFmtId="3" fontId="11" fillId="75" borderId="9" xfId="0" applyNumberFormat="1" applyFont="1" applyFill="1" applyBorder="1" applyAlignment="1">
      <alignment wrapText="1"/>
    </xf>
    <xf numFmtId="0" fontId="11" fillId="60" borderId="17" xfId="0" applyFont="1" applyFill="1" applyBorder="1" applyAlignment="1">
      <alignment vertical="center" wrapText="1"/>
    </xf>
    <xf numFmtId="166" fontId="11" fillId="60" borderId="9" xfId="0" applyNumberFormat="1" applyFont="1" applyFill="1" applyBorder="1" applyAlignment="1">
      <alignment wrapText="1"/>
    </xf>
    <xf numFmtId="166" fontId="11" fillId="70" borderId="17" xfId="0" applyNumberFormat="1" applyFont="1" applyFill="1" applyBorder="1" applyAlignment="1">
      <alignment wrapText="1"/>
    </xf>
    <xf numFmtId="0" fontId="0" fillId="0" borderId="18" xfId="0" applyBorder="1"/>
    <xf numFmtId="166" fontId="11" fillId="62" borderId="17" xfId="0" applyNumberFormat="1" applyFont="1" applyFill="1" applyBorder="1" applyAlignment="1">
      <alignment horizontal="left" wrapText="1"/>
    </xf>
    <xf numFmtId="0" fontId="11" fillId="62" borderId="30" xfId="0" applyFont="1" applyFill="1" applyBorder="1" applyAlignment="1">
      <alignment wrapText="1"/>
    </xf>
    <xf numFmtId="165" fontId="14" fillId="63" borderId="21" xfId="0" applyNumberFormat="1" applyFont="1" applyFill="1" applyBorder="1" applyAlignment="1">
      <alignment horizontal="left" wrapText="1"/>
    </xf>
    <xf numFmtId="0" fontId="21" fillId="60" borderId="17" xfId="0" applyFont="1" applyFill="1" applyBorder="1"/>
    <xf numFmtId="165" fontId="14" fillId="63" borderId="15" xfId="0" applyNumberFormat="1" applyFont="1" applyFill="1" applyBorder="1" applyAlignment="1">
      <alignment horizontal="left" wrapText="1"/>
    </xf>
    <xf numFmtId="0" fontId="20" fillId="60" borderId="18" xfId="0" applyFont="1" applyFill="1" applyBorder="1" applyAlignment="1"/>
    <xf numFmtId="3" fontId="11" fillId="63" borderId="0" xfId="0" applyNumberFormat="1" applyFont="1" applyFill="1" applyBorder="1" applyAlignment="1">
      <alignment wrapText="1"/>
    </xf>
    <xf numFmtId="0" fontId="11" fillId="60" borderId="30" xfId="0" applyFont="1" applyFill="1" applyBorder="1" applyAlignment="1">
      <alignment wrapText="1"/>
    </xf>
    <xf numFmtId="0" fontId="21" fillId="71" borderId="18" xfId="0" applyFont="1" applyFill="1" applyBorder="1"/>
    <xf numFmtId="0" fontId="11" fillId="60" borderId="0" xfId="0" applyFont="1" applyFill="1" applyBorder="1" applyAlignment="1">
      <alignment horizontal="right" wrapText="1"/>
    </xf>
    <xf numFmtId="0" fontId="11" fillId="72" borderId="20" xfId="0" applyFont="1" applyFill="1" applyBorder="1" applyAlignment="1">
      <alignment wrapText="1"/>
    </xf>
    <xf numFmtId="0" fontId="11" fillId="62" borderId="9" xfId="0" applyFont="1" applyFill="1" applyBorder="1" applyAlignment="1">
      <alignment horizontal="left" wrapText="1"/>
    </xf>
    <xf numFmtId="0" fontId="21" fillId="62" borderId="15" xfId="0" applyFont="1" applyFill="1" applyBorder="1" applyAlignment="1">
      <alignment wrapText="1"/>
    </xf>
    <xf numFmtId="0" fontId="72" fillId="4" borderId="9" xfId="0" applyFont="1" applyFill="1" applyBorder="1" applyAlignment="1">
      <alignment wrapText="1"/>
    </xf>
    <xf numFmtId="166" fontId="11" fillId="84" borderId="0" xfId="0" applyNumberFormat="1" applyFont="1" applyFill="1" applyBorder="1" applyAlignment="1">
      <alignment horizontal="left" wrapText="1"/>
    </xf>
    <xf numFmtId="166" fontId="11" fillId="62" borderId="9" xfId="0" applyNumberFormat="1" applyFont="1" applyFill="1" applyBorder="1" applyAlignment="1">
      <alignment horizontal="left" wrapText="1"/>
    </xf>
    <xf numFmtId="165" fontId="14" fillId="62" borderId="9" xfId="0" applyNumberFormat="1" applyFont="1" applyFill="1" applyBorder="1" applyAlignment="1">
      <alignment horizontal="left" wrapText="1"/>
    </xf>
    <xf numFmtId="2" fontId="11" fillId="62" borderId="9" xfId="0" applyNumberFormat="1" applyFont="1" applyFill="1" applyBorder="1" applyAlignment="1">
      <alignment horizontal="right" wrapText="1"/>
    </xf>
    <xf numFmtId="1" fontId="11" fillId="62" borderId="9" xfId="0" applyNumberFormat="1" applyFont="1" applyFill="1" applyBorder="1" applyAlignment="1">
      <alignment horizontal="right" wrapText="1"/>
    </xf>
    <xf numFmtId="17" fontId="11" fillId="61" borderId="18" xfId="0" applyNumberFormat="1" applyFont="1" applyFill="1" applyBorder="1" applyAlignment="1">
      <alignment horizontal="right" wrapText="1"/>
    </xf>
    <xf numFmtId="0" fontId="11" fillId="62" borderId="21" xfId="0" applyFont="1" applyFill="1" applyBorder="1" applyAlignment="1">
      <alignment horizontal="right" wrapText="1"/>
    </xf>
    <xf numFmtId="0" fontId="11" fillId="70" borderId="21" xfId="0" applyFont="1" applyFill="1" applyBorder="1" applyAlignment="1">
      <alignment wrapText="1"/>
    </xf>
    <xf numFmtId="3" fontId="11" fillId="73" borderId="9" xfId="0" applyNumberFormat="1" applyFont="1" applyFill="1" applyBorder="1" applyAlignment="1">
      <alignment wrapText="1"/>
    </xf>
    <xf numFmtId="0" fontId="11" fillId="73" borderId="9" xfId="0" applyFont="1" applyFill="1" applyBorder="1" applyAlignment="1">
      <alignment wrapText="1"/>
    </xf>
    <xf numFmtId="4" fontId="11" fillId="62" borderId="18" xfId="0" applyNumberFormat="1" applyFont="1" applyFill="1" applyBorder="1"/>
    <xf numFmtId="0" fontId="13" fillId="60" borderId="17" xfId="0" applyFont="1" applyFill="1" applyBorder="1" applyAlignment="1"/>
    <xf numFmtId="0" fontId="11" fillId="60" borderId="17" xfId="0" applyFont="1" applyFill="1" applyBorder="1"/>
    <xf numFmtId="0" fontId="11" fillId="62" borderId="20" xfId="0" applyFont="1" applyFill="1" applyBorder="1" applyAlignment="1">
      <alignment wrapText="1"/>
    </xf>
    <xf numFmtId="0" fontId="11" fillId="92" borderId="18" xfId="0" applyFont="1" applyFill="1" applyBorder="1" applyAlignment="1">
      <alignment wrapText="1"/>
    </xf>
    <xf numFmtId="0" fontId="11" fillId="26" borderId="15" xfId="0" applyFont="1" applyFill="1" applyBorder="1" applyAlignment="1">
      <alignment wrapText="1"/>
    </xf>
    <xf numFmtId="3" fontId="11" fillId="18" borderId="9" xfId="2" applyNumberFormat="1" applyFont="1" applyFill="1" applyBorder="1" applyAlignment="1">
      <alignment wrapText="1"/>
    </xf>
    <xf numFmtId="0" fontId="11" fillId="22" borderId="15" xfId="0" applyFont="1" applyFill="1" applyBorder="1" applyAlignment="1">
      <alignment wrapText="1"/>
    </xf>
    <xf numFmtId="0" fontId="11" fillId="22" borderId="21" xfId="2" applyFont="1" applyFill="1" applyBorder="1" applyAlignment="1">
      <alignment wrapText="1"/>
    </xf>
    <xf numFmtId="165" fontId="14" fillId="22" borderId="21" xfId="2" applyNumberFormat="1" applyFont="1" applyFill="1" applyBorder="1" applyAlignment="1">
      <alignment horizontal="left"/>
    </xf>
    <xf numFmtId="0" fontId="11" fillId="27" borderId="22" xfId="0" applyFont="1" applyFill="1" applyBorder="1" applyAlignment="1">
      <alignment horizontal="left" wrapText="1"/>
    </xf>
    <xf numFmtId="0" fontId="5" fillId="16" borderId="11" xfId="0" applyFont="1" applyFill="1" applyBorder="1" applyAlignment="1"/>
    <xf numFmtId="0" fontId="7" fillId="16" borderId="11" xfId="0" applyFont="1" applyFill="1" applyBorder="1" applyAlignment="1">
      <alignment wrapText="1"/>
    </xf>
    <xf numFmtId="0" fontId="13" fillId="16" borderId="11" xfId="0" applyFont="1" applyFill="1" applyBorder="1" applyAlignment="1">
      <alignment horizontal="center" wrapText="1"/>
    </xf>
    <xf numFmtId="0" fontId="7" fillId="16" borderId="11" xfId="0" applyFont="1" applyFill="1" applyBorder="1" applyAlignment="1">
      <alignment horizontal="center" wrapText="1"/>
    </xf>
    <xf numFmtId="0" fontId="7" fillId="9" borderId="11" xfId="0" applyFont="1" applyFill="1" applyBorder="1" applyAlignment="1">
      <alignment horizontal="center" wrapText="1"/>
    </xf>
    <xf numFmtId="3" fontId="7" fillId="9" borderId="11" xfId="0" applyNumberFormat="1" applyFont="1" applyFill="1" applyBorder="1" applyAlignment="1">
      <alignment horizontal="center" wrapText="1"/>
    </xf>
    <xf numFmtId="0" fontId="7" fillId="10" borderId="11" xfId="0" applyFont="1" applyFill="1" applyBorder="1" applyAlignment="1">
      <alignment horizontal="center" wrapText="1"/>
    </xf>
    <xf numFmtId="0" fontId="7" fillId="11" borderId="11" xfId="0" applyFont="1" applyFill="1" applyBorder="1" applyAlignment="1">
      <alignment horizontal="center" wrapText="1"/>
    </xf>
    <xf numFmtId="164" fontId="7" fillId="12" borderId="11" xfId="0" applyNumberFormat="1" applyFont="1" applyFill="1" applyBorder="1" applyAlignment="1">
      <alignment horizontal="center" wrapText="1"/>
    </xf>
    <xf numFmtId="1" fontId="7" fillId="12" borderId="11" xfId="0" applyNumberFormat="1" applyFont="1" applyFill="1" applyBorder="1" applyAlignment="1">
      <alignment horizontal="center" wrapText="1"/>
    </xf>
    <xf numFmtId="0" fontId="7" fillId="12" borderId="11" xfId="0" applyFont="1" applyFill="1" applyBorder="1" applyAlignment="1">
      <alignment horizontal="center" wrapText="1"/>
    </xf>
    <xf numFmtId="0" fontId="7" fillId="13" borderId="11" xfId="0" applyFont="1" applyFill="1" applyBorder="1" applyAlignment="1">
      <alignment horizontal="center" wrapText="1"/>
    </xf>
    <xf numFmtId="1" fontId="7" fillId="13" borderId="11" xfId="0" applyNumberFormat="1" applyFont="1" applyFill="1" applyBorder="1" applyAlignment="1">
      <alignment horizontal="center" wrapText="1"/>
    </xf>
    <xf numFmtId="0" fontId="11" fillId="26" borderId="21" xfId="0" applyFont="1" applyFill="1" applyBorder="1" applyAlignment="1">
      <alignment horizontal="center" wrapText="1"/>
    </xf>
    <xf numFmtId="3" fontId="11" fillId="20" borderId="21" xfId="0" applyNumberFormat="1" applyFont="1" applyFill="1" applyBorder="1" applyAlignment="1">
      <alignment wrapText="1"/>
    </xf>
    <xf numFmtId="0" fontId="14" fillId="26" borderId="21" xfId="0" applyFont="1" applyFill="1" applyBorder="1" applyAlignment="1">
      <alignment horizontal="right"/>
    </xf>
    <xf numFmtId="0" fontId="11" fillId="46" borderId="21" xfId="0" applyFont="1" applyFill="1" applyBorder="1" applyAlignment="1">
      <alignment wrapText="1"/>
    </xf>
    <xf numFmtId="165" fontId="14" fillId="25" borderId="21" xfId="0" applyNumberFormat="1" applyFont="1" applyFill="1" applyBorder="1" applyAlignment="1">
      <alignment horizontal="left" wrapText="1"/>
    </xf>
    <xf numFmtId="3" fontId="11" fillId="44" borderId="21" xfId="0" applyNumberFormat="1" applyFont="1" applyFill="1" applyBorder="1" applyAlignment="1">
      <alignment wrapText="1"/>
    </xf>
    <xf numFmtId="3" fontId="14" fillId="44" borderId="21" xfId="0" applyNumberFormat="1" applyFont="1" applyFill="1" applyBorder="1" applyAlignment="1">
      <alignment horizontal="right"/>
    </xf>
    <xf numFmtId="0" fontId="14" fillId="26" borderId="21" xfId="0" applyFont="1" applyFill="1" applyBorder="1" applyAlignment="1">
      <alignment horizontal="left" wrapText="1"/>
    </xf>
    <xf numFmtId="3" fontId="11" fillId="20" borderId="21" xfId="0" applyNumberFormat="1" applyFont="1" applyFill="1" applyBorder="1" applyAlignment="1">
      <alignment horizontal="right" wrapText="1"/>
    </xf>
    <xf numFmtId="165" fontId="11" fillId="44" borderId="21" xfId="0" applyNumberFormat="1" applyFont="1" applyFill="1" applyBorder="1" applyAlignment="1">
      <alignment wrapText="1"/>
    </xf>
    <xf numFmtId="0" fontId="14" fillId="26" borderId="21" xfId="0" applyFont="1" applyFill="1" applyBorder="1" applyAlignment="1">
      <alignment horizontal="left"/>
    </xf>
    <xf numFmtId="0" fontId="14" fillId="44" borderId="21" xfId="0" applyFont="1" applyFill="1" applyBorder="1" applyAlignment="1">
      <alignment horizontal="left" wrapText="1"/>
    </xf>
    <xf numFmtId="0" fontId="22" fillId="48" borderId="11" xfId="0" applyFont="1" applyFill="1" applyBorder="1" applyAlignment="1"/>
    <xf numFmtId="0" fontId="15" fillId="48" borderId="11" xfId="0" applyFont="1" applyFill="1" applyBorder="1" applyAlignment="1">
      <alignment wrapText="1"/>
    </xf>
    <xf numFmtId="0" fontId="7" fillId="48" borderId="11" xfId="0" applyFont="1" applyFill="1" applyBorder="1" applyAlignment="1">
      <alignment wrapText="1"/>
    </xf>
    <xf numFmtId="0" fontId="13" fillId="48" borderId="11" xfId="0" applyFont="1" applyFill="1" applyBorder="1" applyAlignment="1">
      <alignment horizontal="center" wrapText="1"/>
    </xf>
    <xf numFmtId="0" fontId="7" fillId="48" borderId="11" xfId="0" applyFont="1" applyFill="1" applyBorder="1" applyAlignment="1">
      <alignment horizontal="center" wrapText="1"/>
    </xf>
    <xf numFmtId="0" fontId="7" fillId="49" borderId="11" xfId="0" applyFont="1" applyFill="1" applyBorder="1" applyAlignment="1">
      <alignment horizontal="center" wrapText="1"/>
    </xf>
    <xf numFmtId="3" fontId="7" fillId="49" borderId="11" xfId="0" applyNumberFormat="1" applyFont="1" applyFill="1" applyBorder="1" applyAlignment="1">
      <alignment horizontal="center" wrapText="1"/>
    </xf>
    <xf numFmtId="0" fontId="7" fillId="50" borderId="11" xfId="0" applyFont="1" applyFill="1" applyBorder="1" applyAlignment="1">
      <alignment horizontal="center" wrapText="1"/>
    </xf>
    <xf numFmtId="0" fontId="7" fillId="51" borderId="11" xfId="0" applyFont="1" applyFill="1" applyBorder="1" applyAlignment="1">
      <alignment horizontal="center" wrapText="1"/>
    </xf>
    <xf numFmtId="164" fontId="7" fillId="52" borderId="11" xfId="0" applyNumberFormat="1" applyFont="1" applyFill="1" applyBorder="1" applyAlignment="1">
      <alignment horizontal="center" wrapText="1"/>
    </xf>
    <xf numFmtId="1" fontId="7" fillId="52" borderId="11" xfId="0" applyNumberFormat="1" applyFont="1" applyFill="1" applyBorder="1" applyAlignment="1">
      <alignment horizontal="center" wrapText="1"/>
    </xf>
    <xf numFmtId="0" fontId="7" fillId="52" borderId="11" xfId="0" applyFont="1" applyFill="1" applyBorder="1" applyAlignment="1">
      <alignment horizontal="center" wrapText="1"/>
    </xf>
    <xf numFmtId="0" fontId="7" fillId="53" borderId="11" xfId="0" applyFont="1" applyFill="1" applyBorder="1" applyAlignment="1">
      <alignment horizontal="center" wrapText="1"/>
    </xf>
    <xf numFmtId="1" fontId="7" fillId="53" borderId="11" xfId="0" applyNumberFormat="1" applyFont="1" applyFill="1" applyBorder="1" applyAlignment="1">
      <alignment horizontal="center" wrapText="1"/>
    </xf>
    <xf numFmtId="0" fontId="7" fillId="54" borderId="11" xfId="0" applyFont="1" applyFill="1" applyBorder="1" applyAlignment="1">
      <alignment horizontal="center" wrapText="1"/>
    </xf>
    <xf numFmtId="0" fontId="11" fillId="18" borderId="21" xfId="0" applyFont="1" applyFill="1" applyBorder="1" applyAlignment="1">
      <alignment wrapText="1"/>
    </xf>
    <xf numFmtId="0" fontId="14" fillId="26" borderId="17" xfId="0" applyFont="1" applyFill="1" applyBorder="1"/>
    <xf numFmtId="0" fontId="14" fillId="26" borderId="17" xfId="0" applyFont="1" applyFill="1" applyBorder="1" applyAlignment="1">
      <alignment horizontal="center"/>
    </xf>
    <xf numFmtId="0" fontId="14" fillId="26" borderId="17" xfId="0" applyFont="1" applyFill="1" applyBorder="1" applyAlignment="1">
      <alignment horizontal="right"/>
    </xf>
    <xf numFmtId="0" fontId="14" fillId="44" borderId="17" xfId="0" applyFont="1" applyFill="1" applyBorder="1" applyAlignment="1">
      <alignment horizontal="right"/>
    </xf>
    <xf numFmtId="3" fontId="14" fillId="44" borderId="17" xfId="0" applyNumberFormat="1" applyFont="1" applyFill="1" applyBorder="1" applyAlignment="1">
      <alignment horizontal="right"/>
    </xf>
    <xf numFmtId="3" fontId="11" fillId="44" borderId="17" xfId="0" applyNumberFormat="1" applyFont="1" applyFill="1" applyBorder="1" applyAlignment="1">
      <alignment wrapText="1"/>
    </xf>
    <xf numFmtId="3" fontId="11" fillId="44" borderId="17" xfId="0" applyNumberFormat="1" applyFont="1" applyFill="1" applyBorder="1" applyAlignment="1">
      <alignment horizontal="right" wrapText="1"/>
    </xf>
    <xf numFmtId="0" fontId="14" fillId="26" borderId="17" xfId="0" applyFont="1" applyFill="1" applyBorder="1" applyAlignment="1">
      <alignment horizontal="left"/>
    </xf>
    <xf numFmtId="0" fontId="8" fillId="10" borderId="11" xfId="0" applyFont="1" applyFill="1" applyBorder="1" applyAlignment="1">
      <alignment horizontal="center" wrapText="1"/>
    </xf>
    <xf numFmtId="1" fontId="8" fillId="12" borderId="11" xfId="0" applyNumberFormat="1" applyFont="1" applyFill="1" applyBorder="1" applyAlignment="1">
      <alignment horizontal="center" wrapText="1"/>
    </xf>
    <xf numFmtId="0" fontId="8" fillId="12" borderId="11" xfId="0" applyFont="1" applyFill="1" applyBorder="1" applyAlignment="1">
      <alignment horizontal="center" wrapText="1"/>
    </xf>
    <xf numFmtId="0" fontId="8" fillId="13" borderId="11" xfId="0" applyFont="1" applyFill="1" applyBorder="1" applyAlignment="1">
      <alignment horizontal="center" wrapText="1"/>
    </xf>
    <xf numFmtId="1" fontId="8" fillId="13" borderId="11" xfId="0" applyNumberFormat="1" applyFont="1" applyFill="1" applyBorder="1" applyAlignment="1">
      <alignment horizontal="center" wrapText="1"/>
    </xf>
    <xf numFmtId="0" fontId="5" fillId="8" borderId="16" xfId="0" applyFont="1" applyFill="1" applyBorder="1" applyAlignment="1"/>
    <xf numFmtId="0" fontId="8" fillId="8" borderId="17" xfId="0" applyFont="1" applyFill="1" applyBorder="1" applyAlignment="1">
      <alignment horizontal="center" wrapText="1"/>
    </xf>
    <xf numFmtId="0" fontId="8" fillId="9" borderId="17" xfId="0" applyFont="1" applyFill="1" applyBorder="1" applyAlignment="1">
      <alignment horizontal="center" wrapText="1"/>
    </xf>
    <xf numFmtId="0" fontId="8" fillId="10" borderId="6" xfId="0" applyFont="1" applyFill="1" applyBorder="1" applyAlignment="1">
      <alignment horizontal="center" wrapText="1"/>
    </xf>
    <xf numFmtId="0" fontId="8" fillId="10" borderId="7" xfId="0" applyFont="1" applyFill="1" applyBorder="1" applyAlignment="1">
      <alignment horizontal="center" wrapText="1"/>
    </xf>
    <xf numFmtId="0" fontId="8" fillId="11" borderId="7" xfId="0" applyFont="1" applyFill="1" applyBorder="1" applyAlignment="1">
      <alignment horizontal="center" wrapText="1"/>
    </xf>
    <xf numFmtId="164" fontId="8" fillId="12" borderId="7" xfId="0" applyNumberFormat="1" applyFont="1" applyFill="1" applyBorder="1" applyAlignment="1">
      <alignment horizontal="center" wrapText="1"/>
    </xf>
    <xf numFmtId="1" fontId="8" fillId="12" borderId="7" xfId="0" applyNumberFormat="1" applyFont="1" applyFill="1" applyBorder="1" applyAlignment="1">
      <alignment horizontal="center" wrapText="1"/>
    </xf>
    <xf numFmtId="0" fontId="8" fillId="12" borderId="7" xfId="0" applyFont="1" applyFill="1" applyBorder="1" applyAlignment="1">
      <alignment horizontal="center" wrapText="1"/>
    </xf>
    <xf numFmtId="0" fontId="8" fillId="13" borderId="7" xfId="0" applyFont="1" applyFill="1" applyBorder="1" applyAlignment="1">
      <alignment horizontal="center" wrapText="1"/>
    </xf>
    <xf numFmtId="1" fontId="8" fillId="13" borderId="7" xfId="0" applyNumberFormat="1" applyFont="1" applyFill="1" applyBorder="1" applyAlignment="1">
      <alignment horizontal="center" wrapText="1"/>
    </xf>
    <xf numFmtId="0" fontId="8" fillId="14" borderId="7" xfId="0" applyFont="1" applyFill="1" applyBorder="1" applyAlignment="1">
      <alignment horizontal="center" wrapText="1"/>
    </xf>
    <xf numFmtId="0" fontId="9" fillId="15" borderId="7" xfId="0" applyFont="1" applyFill="1" applyBorder="1" applyAlignment="1">
      <alignment horizontal="left" wrapText="1"/>
    </xf>
    <xf numFmtId="0" fontId="6" fillId="41" borderId="12" xfId="0" applyFont="1" applyFill="1" applyBorder="1" applyAlignment="1">
      <alignment horizontal="center" wrapText="1"/>
    </xf>
    <xf numFmtId="0" fontId="33" fillId="19" borderId="23" xfId="0" applyFont="1" applyFill="1" applyBorder="1" applyAlignment="1">
      <alignment wrapText="1"/>
    </xf>
    <xf numFmtId="0" fontId="33" fillId="18" borderId="22" xfId="0" applyFont="1" applyFill="1" applyBorder="1" applyAlignment="1">
      <alignment wrapText="1"/>
    </xf>
    <xf numFmtId="0" fontId="34" fillId="18" borderId="22" xfId="0" applyFont="1" applyFill="1" applyBorder="1" applyAlignment="1">
      <alignment wrapText="1"/>
    </xf>
    <xf numFmtId="4" fontId="33" fillId="18" borderId="22" xfId="0" applyNumberFormat="1" applyFont="1" applyFill="1" applyBorder="1" applyAlignment="1">
      <alignment wrapText="1"/>
    </xf>
    <xf numFmtId="0" fontId="38" fillId="8" borderId="11" xfId="0" applyFont="1" applyFill="1" applyBorder="1" applyAlignment="1">
      <alignment horizontal="center" wrapText="1"/>
    </xf>
    <xf numFmtId="0" fontId="38" fillId="8" borderId="12" xfId="0" applyFont="1" applyFill="1" applyBorder="1" applyAlignment="1">
      <alignment horizontal="center" wrapText="1"/>
    </xf>
    <xf numFmtId="0" fontId="33" fillId="18" borderId="23" xfId="0" applyFont="1" applyFill="1" applyBorder="1" applyAlignment="1">
      <alignment wrapText="1"/>
    </xf>
    <xf numFmtId="0" fontId="34" fillId="18" borderId="23" xfId="0" applyFont="1" applyFill="1" applyBorder="1" applyAlignment="1">
      <alignment wrapText="1"/>
    </xf>
    <xf numFmtId="3" fontId="33" fillId="18" borderId="23" xfId="0" applyNumberFormat="1" applyFont="1" applyFill="1" applyBorder="1" applyAlignment="1">
      <alignment wrapText="1"/>
    </xf>
    <xf numFmtId="0" fontId="33" fillId="21" borderId="17" xfId="0" applyFont="1" applyFill="1" applyBorder="1" applyAlignment="1">
      <alignment wrapText="1"/>
    </xf>
    <xf numFmtId="0" fontId="33" fillId="26" borderId="17" xfId="0" applyFont="1" applyFill="1" applyBorder="1" applyAlignment="1">
      <alignment horizontal="left" wrapText="1"/>
    </xf>
    <xf numFmtId="0" fontId="0" fillId="0" borderId="26" xfId="0" applyFont="1" applyBorder="1" applyAlignment="1"/>
    <xf numFmtId="0" fontId="0" fillId="0" borderId="4" xfId="0" applyFont="1" applyBorder="1" applyAlignment="1"/>
    <xf numFmtId="0" fontId="33" fillId="65" borderId="2" xfId="0" applyFont="1" applyFill="1" applyBorder="1" applyAlignment="1">
      <alignment wrapText="1"/>
    </xf>
    <xf numFmtId="0" fontId="35" fillId="65" borderId="2" xfId="0" applyFont="1" applyFill="1" applyBorder="1" applyAlignment="1">
      <alignment wrapText="1"/>
    </xf>
    <xf numFmtId="0" fontId="33" fillId="65" borderId="2" xfId="0" applyFont="1" applyFill="1" applyBorder="1" applyAlignment="1">
      <alignment horizontal="center" wrapText="1"/>
    </xf>
    <xf numFmtId="0" fontId="10" fillId="21" borderId="2" xfId="0" applyFont="1" applyFill="1" applyBorder="1" applyAlignment="1"/>
    <xf numFmtId="0" fontId="11" fillId="60" borderId="19" xfId="0" applyFont="1" applyFill="1" applyBorder="1" applyAlignment="1">
      <alignment wrapText="1"/>
    </xf>
    <xf numFmtId="0" fontId="11" fillId="60" borderId="25" xfId="0" applyFont="1" applyFill="1" applyBorder="1" applyAlignment="1">
      <alignment wrapText="1"/>
    </xf>
    <xf numFmtId="4" fontId="11" fillId="60" borderId="21" xfId="0" applyNumberFormat="1" applyFont="1" applyFill="1" applyBorder="1" applyAlignment="1"/>
    <xf numFmtId="0" fontId="11" fillId="71" borderId="17" xfId="0" applyFont="1" applyFill="1" applyBorder="1" applyAlignment="1">
      <alignment wrapText="1"/>
    </xf>
    <xf numFmtId="4" fontId="11" fillId="62" borderId="17" xfId="0" applyNumberFormat="1" applyFont="1" applyFill="1" applyBorder="1" applyAlignment="1"/>
    <xf numFmtId="3" fontId="11" fillId="63" borderId="21" xfId="0" applyNumberFormat="1" applyFont="1" applyFill="1" applyBorder="1" applyAlignment="1">
      <alignment wrapText="1"/>
    </xf>
    <xf numFmtId="0" fontId="13" fillId="60" borderId="22" xfId="0" applyFont="1" applyFill="1" applyBorder="1" applyAlignment="1">
      <alignment wrapText="1"/>
    </xf>
    <xf numFmtId="0" fontId="7" fillId="60" borderId="22" xfId="0" applyFont="1" applyFill="1" applyBorder="1" applyAlignment="1">
      <alignment wrapText="1"/>
    </xf>
    <xf numFmtId="3" fontId="11" fillId="75" borderId="22" xfId="0" applyNumberFormat="1" applyFont="1" applyFill="1" applyBorder="1" applyAlignment="1">
      <alignment wrapText="1"/>
    </xf>
    <xf numFmtId="0" fontId="11" fillId="60" borderId="22" xfId="0" applyFont="1" applyFill="1" applyBorder="1" applyAlignment="1">
      <alignment horizontal="center" wrapText="1"/>
    </xf>
    <xf numFmtId="0" fontId="11" fillId="60" borderId="22" xfId="0" applyFont="1" applyFill="1" applyBorder="1" applyAlignment="1">
      <alignment horizontal="right" wrapText="1"/>
    </xf>
    <xf numFmtId="3" fontId="11" fillId="60" borderId="22" xfId="0" applyNumberFormat="1" applyFont="1" applyFill="1" applyBorder="1" applyAlignment="1">
      <alignment horizontal="right" wrapText="1"/>
    </xf>
    <xf numFmtId="2" fontId="11" fillId="60" borderId="22" xfId="0" applyNumberFormat="1" applyFont="1" applyFill="1" applyBorder="1" applyAlignment="1">
      <alignment horizontal="right" wrapText="1"/>
    </xf>
    <xf numFmtId="0" fontId="11" fillId="60" borderId="22" xfId="0" applyFont="1" applyFill="1" applyBorder="1" applyAlignment="1">
      <alignment horizontal="left" wrapText="1"/>
    </xf>
    <xf numFmtId="0" fontId="0" fillId="41" borderId="11" xfId="0" applyFill="1" applyBorder="1"/>
    <xf numFmtId="3" fontId="11" fillId="60" borderId="21" xfId="0" applyNumberFormat="1" applyFont="1" applyFill="1" applyBorder="1" applyAlignment="1">
      <alignment horizontal="right" wrapText="1"/>
    </xf>
    <xf numFmtId="0" fontId="19" fillId="77" borderId="11" xfId="0" applyFont="1" applyFill="1" applyBorder="1" applyAlignment="1">
      <alignment wrapText="1"/>
    </xf>
    <xf numFmtId="0" fontId="21" fillId="77" borderId="11" xfId="0" applyFont="1" applyFill="1" applyBorder="1" applyAlignment="1">
      <alignment wrapText="1"/>
    </xf>
    <xf numFmtId="0" fontId="11" fillId="77" borderId="11" xfId="0" applyFont="1" applyFill="1" applyBorder="1" applyAlignment="1">
      <alignment wrapText="1"/>
    </xf>
    <xf numFmtId="0" fontId="13" fillId="77" borderId="11" xfId="0" applyFont="1" applyFill="1" applyBorder="1" applyAlignment="1">
      <alignment wrapText="1"/>
    </xf>
    <xf numFmtId="3" fontId="11" fillId="77" borderId="11" xfId="0" applyNumberFormat="1" applyFont="1" applyFill="1" applyBorder="1" applyAlignment="1">
      <alignment wrapText="1"/>
    </xf>
    <xf numFmtId="0" fontId="11" fillId="77" borderId="11" xfId="0" applyFont="1" applyFill="1" applyBorder="1" applyAlignment="1">
      <alignment horizontal="center" wrapText="1"/>
    </xf>
    <xf numFmtId="14" fontId="11" fillId="77" borderId="11" xfId="0" applyNumberFormat="1" applyFont="1" applyFill="1" applyBorder="1" applyAlignment="1">
      <alignment horizontal="right" wrapText="1"/>
    </xf>
    <xf numFmtId="0" fontId="11" fillId="77" borderId="11" xfId="0" applyFont="1" applyFill="1" applyBorder="1" applyAlignment="1">
      <alignment horizontal="right" wrapText="1"/>
    </xf>
    <xf numFmtId="2" fontId="11" fillId="60" borderId="19" xfId="0" applyNumberFormat="1" applyFont="1" applyFill="1" applyBorder="1" applyAlignment="1">
      <alignment horizontal="right" wrapText="1"/>
    </xf>
    <xf numFmtId="0" fontId="45" fillId="77" borderId="11" xfId="0" applyFont="1" applyFill="1" applyBorder="1" applyAlignment="1"/>
    <xf numFmtId="0" fontId="17" fillId="77" borderId="11" xfId="0" applyFont="1" applyFill="1" applyBorder="1" applyAlignment="1"/>
    <xf numFmtId="0" fontId="0" fillId="0" borderId="26" xfId="0" applyBorder="1"/>
    <xf numFmtId="0" fontId="11" fillId="60" borderId="26" xfId="0" applyFont="1" applyFill="1" applyBorder="1" applyAlignment="1">
      <alignment wrapText="1"/>
    </xf>
    <xf numFmtId="0" fontId="13" fillId="60" borderId="26" xfId="0" applyFont="1" applyFill="1" applyBorder="1" applyAlignment="1">
      <alignment wrapText="1"/>
    </xf>
    <xf numFmtId="0" fontId="7" fillId="60" borderId="26" xfId="0" applyFont="1" applyFill="1" applyBorder="1" applyAlignment="1">
      <alignment wrapText="1"/>
    </xf>
    <xf numFmtId="0" fontId="11" fillId="60" borderId="26" xfId="0" applyFont="1" applyFill="1" applyBorder="1" applyAlignment="1">
      <alignment horizontal="center" wrapText="1"/>
    </xf>
    <xf numFmtId="0" fontId="13" fillId="77" borderId="11" xfId="0" applyFont="1" applyFill="1" applyBorder="1" applyAlignment="1"/>
    <xf numFmtId="0" fontId="21" fillId="77" borderId="11" xfId="0" applyFont="1" applyFill="1" applyBorder="1" applyAlignment="1"/>
    <xf numFmtId="0" fontId="18" fillId="77" borderId="11" xfId="0" applyFont="1" applyFill="1" applyBorder="1"/>
    <xf numFmtId="0" fontId="21" fillId="77" borderId="11" xfId="0" applyFont="1" applyFill="1" applyBorder="1"/>
    <xf numFmtId="0" fontId="11" fillId="27" borderId="21" xfId="0" applyFont="1" applyFill="1" applyBorder="1" applyAlignment="1">
      <alignment horizontal="left" wrapText="1"/>
    </xf>
    <xf numFmtId="0" fontId="7" fillId="27" borderId="21" xfId="0" applyFont="1" applyFill="1" applyBorder="1" applyAlignment="1">
      <alignment horizontal="left" wrapText="1"/>
    </xf>
    <xf numFmtId="0" fontId="11" fillId="28" borderId="21" xfId="0" applyFont="1" applyFill="1" applyBorder="1" applyAlignment="1">
      <alignment horizontal="left" wrapText="1"/>
    </xf>
    <xf numFmtId="0" fontId="11" fillId="93" borderId="21" xfId="0" applyFont="1" applyFill="1" applyBorder="1" applyAlignment="1">
      <alignment horizontal="left" wrapText="1"/>
    </xf>
    <xf numFmtId="166" fontId="11" fillId="84" borderId="21" xfId="0" applyNumberFormat="1" applyFont="1" applyFill="1" applyBorder="1" applyAlignment="1">
      <alignment horizontal="left" wrapText="1"/>
    </xf>
    <xf numFmtId="3" fontId="11" fillId="37" borderId="21" xfId="0" applyNumberFormat="1" applyFont="1" applyFill="1" applyBorder="1" applyAlignment="1">
      <alignment horizontal="right" wrapText="1"/>
    </xf>
    <xf numFmtId="3" fontId="11" fillId="38" borderId="21" xfId="0" applyNumberFormat="1" applyFont="1" applyFill="1" applyBorder="1" applyAlignment="1">
      <alignment horizontal="right" wrapText="1"/>
    </xf>
    <xf numFmtId="0" fontId="7" fillId="32" borderId="21" xfId="0" applyFont="1" applyFill="1" applyBorder="1" applyAlignment="1">
      <alignment horizontal="center" wrapText="1"/>
    </xf>
    <xf numFmtId="2" fontId="11" fillId="38" borderId="21" xfId="0" applyNumberFormat="1" applyFont="1" applyFill="1" applyBorder="1" applyAlignment="1">
      <alignment horizontal="center" wrapText="1"/>
    </xf>
    <xf numFmtId="2" fontId="7" fillId="31" borderId="21" xfId="0" applyNumberFormat="1" applyFont="1" applyFill="1" applyBorder="1" applyAlignment="1">
      <alignment horizontal="center" wrapText="1"/>
    </xf>
    <xf numFmtId="0" fontId="53" fillId="34" borderId="23" xfId="0" applyFont="1" applyFill="1" applyBorder="1" applyAlignment="1">
      <alignment horizontal="left" wrapText="1"/>
    </xf>
    <xf numFmtId="166" fontId="7" fillId="11" borderId="11" xfId="0" applyNumberFormat="1" applyFont="1" applyFill="1" applyBorder="1" applyAlignment="1">
      <alignment horizontal="center" wrapText="1"/>
    </xf>
    <xf numFmtId="2" fontId="7" fillId="12" borderId="11" xfId="0" applyNumberFormat="1" applyFont="1" applyFill="1" applyBorder="1" applyAlignment="1">
      <alignment horizontal="center" wrapText="1"/>
    </xf>
    <xf numFmtId="0" fontId="53" fillId="15" borderId="11" xfId="0" applyFont="1" applyFill="1" applyBorder="1" applyAlignment="1">
      <alignment horizontal="left" wrapText="1"/>
    </xf>
    <xf numFmtId="0" fontId="11" fillId="60" borderId="24" xfId="0" applyFont="1" applyFill="1" applyBorder="1" applyAlignment="1">
      <alignment horizontal="left" wrapText="1"/>
    </xf>
    <xf numFmtId="165" fontId="14" fillId="60" borderId="17" xfId="0" applyNumberFormat="1" applyFont="1" applyFill="1" applyBorder="1" applyAlignment="1">
      <alignment horizontal="left" wrapText="1"/>
    </xf>
    <xf numFmtId="2" fontId="11" fillId="62" borderId="17" xfId="0" applyNumberFormat="1" applyFont="1" applyFill="1" applyBorder="1" applyAlignment="1">
      <alignment horizontal="right" wrapText="1"/>
    </xf>
    <xf numFmtId="166" fontId="7" fillId="51" borderId="11" xfId="0" applyNumberFormat="1" applyFont="1" applyFill="1" applyBorder="1" applyAlignment="1">
      <alignment horizontal="center" wrapText="1"/>
    </xf>
    <xf numFmtId="2" fontId="7" fillId="52" borderId="11" xfId="0" applyNumberFormat="1" applyFont="1" applyFill="1" applyBorder="1" applyAlignment="1">
      <alignment horizontal="center" wrapText="1"/>
    </xf>
    <xf numFmtId="0" fontId="53" fillId="47" borderId="11" xfId="0" applyFont="1" applyFill="1" applyBorder="1" applyAlignment="1">
      <alignment horizontal="left" wrapText="1"/>
    </xf>
    <xf numFmtId="0" fontId="6" fillId="57" borderId="28" xfId="0" applyFont="1" applyFill="1" applyBorder="1" applyAlignment="1">
      <alignment horizontal="center" wrapText="1"/>
    </xf>
    <xf numFmtId="0" fontId="6" fillId="57" borderId="19" xfId="0" applyFont="1" applyFill="1" applyBorder="1" applyAlignment="1">
      <alignment horizontal="center" wrapText="1"/>
    </xf>
    <xf numFmtId="0" fontId="6" fillId="81" borderId="19" xfId="0" applyFont="1" applyFill="1" applyBorder="1" applyAlignment="1">
      <alignment horizontal="center" wrapText="1"/>
    </xf>
    <xf numFmtId="0" fontId="21" fillId="62" borderId="17" xfId="0" applyFont="1" applyFill="1" applyBorder="1" applyAlignment="1">
      <alignment wrapText="1"/>
    </xf>
    <xf numFmtId="0" fontId="21" fillId="62" borderId="17" xfId="0" applyFont="1" applyFill="1" applyBorder="1" applyAlignment="1"/>
    <xf numFmtId="0" fontId="21" fillId="60" borderId="20" xfId="0" applyFont="1" applyFill="1" applyBorder="1" applyAlignment="1">
      <alignment wrapText="1"/>
    </xf>
    <xf numFmtId="0" fontId="8" fillId="16" borderId="11" xfId="0" applyFont="1" applyFill="1" applyBorder="1" applyAlignment="1">
      <alignment horizontal="center" wrapText="1"/>
    </xf>
    <xf numFmtId="3" fontId="8" fillId="9" borderId="11" xfId="0" applyNumberFormat="1" applyFont="1" applyFill="1" applyBorder="1" applyAlignment="1">
      <alignment horizontal="center" wrapText="1"/>
    </xf>
    <xf numFmtId="166" fontId="8" fillId="11" borderId="11" xfId="0" applyNumberFormat="1" applyFont="1" applyFill="1" applyBorder="1" applyAlignment="1">
      <alignment horizontal="center" wrapText="1"/>
    </xf>
    <xf numFmtId="2" fontId="8" fillId="12" borderId="11" xfId="0" applyNumberFormat="1" applyFont="1" applyFill="1" applyBorder="1" applyAlignment="1">
      <alignment horizontal="center" wrapText="1"/>
    </xf>
    <xf numFmtId="0" fontId="52" fillId="15" borderId="11" xfId="0" applyFont="1" applyFill="1" applyBorder="1" applyAlignment="1">
      <alignment horizontal="left" wrapText="1"/>
    </xf>
    <xf numFmtId="0" fontId="33" fillId="22" borderId="18" xfId="0" applyFont="1" applyFill="1" applyBorder="1"/>
    <xf numFmtId="0" fontId="6" fillId="80" borderId="19" xfId="0" applyFont="1" applyFill="1" applyBorder="1" applyAlignment="1">
      <alignment horizontal="center" wrapText="1"/>
    </xf>
    <xf numFmtId="3" fontId="6" fillId="80" borderId="19" xfId="0" applyNumberFormat="1" applyFont="1" applyFill="1" applyBorder="1" applyAlignment="1">
      <alignment horizontal="center" wrapText="1"/>
    </xf>
    <xf numFmtId="10" fontId="30" fillId="0" borderId="0" xfId="0" applyNumberFormat="1" applyFont="1" applyBorder="1"/>
    <xf numFmtId="0" fontId="58" fillId="95" borderId="18" xfId="0" applyFont="1" applyFill="1" applyBorder="1"/>
    <xf numFmtId="0" fontId="58" fillId="96" borderId="18" xfId="0" applyFont="1" applyFill="1" applyBorder="1"/>
    <xf numFmtId="0" fontId="5" fillId="94" borderId="18" xfId="0" applyFont="1" applyFill="1" applyBorder="1"/>
    <xf numFmtId="0" fontId="13" fillId="60" borderId="21" xfId="0" applyFont="1" applyFill="1" applyBorder="1" applyAlignment="1">
      <alignment wrapText="1"/>
    </xf>
    <xf numFmtId="0" fontId="7" fillId="60" borderId="21" xfId="0" applyFont="1" applyFill="1" applyBorder="1" applyAlignment="1">
      <alignment wrapText="1"/>
    </xf>
    <xf numFmtId="0" fontId="11" fillId="60" borderId="21" xfId="0" applyFont="1" applyFill="1" applyBorder="1" applyAlignment="1">
      <alignment wrapText="1"/>
    </xf>
    <xf numFmtId="0" fontId="11" fillId="60" borderId="21" xfId="0" applyFont="1" applyFill="1" applyBorder="1" applyAlignment="1">
      <alignment horizontal="center" wrapText="1"/>
    </xf>
    <xf numFmtId="14" fontId="11" fillId="60" borderId="21" xfId="0" applyNumberFormat="1" applyFont="1" applyFill="1" applyBorder="1" applyAlignment="1">
      <alignment horizontal="right" wrapText="1"/>
    </xf>
    <xf numFmtId="0" fontId="11" fillId="60" borderId="27" xfId="0" applyFont="1" applyFill="1" applyBorder="1" applyAlignment="1">
      <alignment horizontal="center" wrapText="1"/>
    </xf>
    <xf numFmtId="0" fontId="11" fillId="0" borderId="21" xfId="0" applyFont="1" applyFill="1" applyBorder="1" applyAlignment="1">
      <alignment horizontal="center" wrapText="1"/>
    </xf>
    <xf numFmtId="3" fontId="11" fillId="4" borderId="21" xfId="0" applyNumberFormat="1" applyFont="1" applyFill="1" applyBorder="1" applyAlignment="1">
      <alignment horizontal="center" wrapText="1"/>
    </xf>
    <xf numFmtId="0" fontId="11" fillId="4" borderId="21" xfId="0" applyFont="1" applyFill="1" applyBorder="1" applyAlignment="1">
      <alignment wrapText="1"/>
    </xf>
    <xf numFmtId="3" fontId="11" fillId="62" borderId="21" xfId="0" applyNumberFormat="1" applyFont="1" applyFill="1" applyBorder="1" applyAlignment="1">
      <alignment horizontal="center" wrapText="1"/>
    </xf>
    <xf numFmtId="0" fontId="11" fillId="62" borderId="21" xfId="0" applyFont="1" applyFill="1" applyBorder="1" applyAlignment="1">
      <alignment horizontal="left" wrapText="1"/>
    </xf>
    <xf numFmtId="0" fontId="7" fillId="60" borderId="9" xfId="0" applyFont="1" applyFill="1" applyBorder="1" applyAlignment="1">
      <alignment wrapText="1"/>
    </xf>
    <xf numFmtId="0" fontId="11" fillId="62" borderId="9" xfId="0" applyFont="1" applyFill="1" applyBorder="1" applyAlignment="1">
      <alignment wrapText="1"/>
    </xf>
    <xf numFmtId="0" fontId="11" fillId="60" borderId="9" xfId="0" applyFont="1" applyFill="1" applyBorder="1" applyAlignment="1">
      <alignment horizontal="left" wrapText="1"/>
    </xf>
    <xf numFmtId="0" fontId="0" fillId="0" borderId="9" xfId="0" applyBorder="1"/>
    <xf numFmtId="0" fontId="14" fillId="4" borderId="9" xfId="0" applyFont="1" applyFill="1" applyBorder="1" applyAlignment="1">
      <alignment wrapText="1"/>
    </xf>
    <xf numFmtId="0" fontId="11" fillId="4" borderId="9" xfId="0" applyFont="1" applyFill="1" applyBorder="1" applyAlignment="1">
      <alignment wrapText="1"/>
    </xf>
    <xf numFmtId="3" fontId="11" fillId="38" borderId="9" xfId="0" applyNumberFormat="1" applyFont="1" applyFill="1" applyBorder="1" applyAlignment="1">
      <alignment wrapText="1"/>
    </xf>
    <xf numFmtId="0" fontId="14" fillId="2" borderId="9" xfId="0" applyFont="1" applyFill="1" applyBorder="1" applyAlignment="1">
      <alignment horizontal="left" wrapText="1"/>
    </xf>
    <xf numFmtId="0" fontId="17" fillId="2" borderId="9" xfId="0" applyFont="1" applyFill="1" applyBorder="1" applyAlignment="1">
      <alignment horizontal="left" wrapText="1"/>
    </xf>
    <xf numFmtId="0" fontId="14" fillId="2" borderId="9" xfId="0" applyFont="1" applyFill="1" applyBorder="1" applyAlignment="1">
      <alignment wrapText="1"/>
    </xf>
    <xf numFmtId="0" fontId="14" fillId="2" borderId="9" xfId="0" applyFont="1" applyFill="1" applyBorder="1" applyAlignment="1">
      <alignment horizontal="center" wrapText="1"/>
    </xf>
    <xf numFmtId="3" fontId="14" fillId="2" borderId="9" xfId="0" applyNumberFormat="1" applyFont="1" applyFill="1" applyBorder="1"/>
    <xf numFmtId="3" fontId="11" fillId="18" borderId="9" xfId="0" applyNumberFormat="1" applyFont="1" applyFill="1" applyBorder="1" applyAlignment="1">
      <alignment wrapText="1"/>
    </xf>
    <xf numFmtId="165" fontId="14" fillId="31" borderId="9" xfId="0" applyNumberFormat="1" applyFont="1" applyFill="1" applyBorder="1" applyAlignment="1">
      <alignment horizontal="left" wrapText="1"/>
    </xf>
    <xf numFmtId="3" fontId="11" fillId="2" borderId="9" xfId="0" applyNumberFormat="1" applyFont="1" applyFill="1" applyBorder="1" applyAlignment="1">
      <alignment horizontal="right" wrapText="1"/>
    </xf>
    <xf numFmtId="0" fontId="11" fillId="2" borderId="9" xfId="0" applyFont="1" applyFill="1" applyBorder="1" applyAlignment="1">
      <alignment horizontal="right" wrapText="1"/>
    </xf>
    <xf numFmtId="165" fontId="14" fillId="2" borderId="9" xfId="0" applyNumberFormat="1" applyFont="1" applyFill="1" applyBorder="1"/>
    <xf numFmtId="0" fontId="14" fillId="2" borderId="9" xfId="0" applyFont="1" applyFill="1" applyBorder="1" applyAlignment="1">
      <alignment vertical="top" wrapText="1"/>
    </xf>
    <xf numFmtId="3" fontId="11" fillId="37" borderId="9" xfId="0" applyNumberFormat="1" applyFont="1" applyFill="1" applyBorder="1" applyAlignment="1">
      <alignment horizontal="right" wrapText="1"/>
    </xf>
    <xf numFmtId="0" fontId="0" fillId="0" borderId="0" xfId="0"/>
    <xf numFmtId="0" fontId="67" fillId="2" borderId="9" xfId="0" applyFont="1" applyFill="1" applyBorder="1" applyAlignment="1"/>
    <xf numFmtId="0" fontId="67" fillId="2" borderId="9" xfId="0" applyFont="1" applyFill="1" applyBorder="1" applyAlignment="1">
      <alignment horizontal="center"/>
    </xf>
    <xf numFmtId="0" fontId="67" fillId="2" borderId="9" xfId="0" applyFont="1" applyFill="1" applyBorder="1" applyAlignment="1">
      <alignment wrapText="1"/>
    </xf>
    <xf numFmtId="0" fontId="0" fillId="21" borderId="0" xfId="0" applyFill="1"/>
    <xf numFmtId="3" fontId="67" fillId="3" borderId="9" xfId="0" applyNumberFormat="1" applyFont="1" applyFill="1" applyBorder="1" applyAlignment="1"/>
    <xf numFmtId="3" fontId="67" fillId="4" borderId="9" xfId="0" applyNumberFormat="1" applyFont="1" applyFill="1" applyBorder="1" applyAlignment="1">
      <alignment wrapText="1"/>
    </xf>
    <xf numFmtId="0" fontId="68" fillId="2" borderId="9" xfId="0" applyFont="1" applyFill="1" applyBorder="1" applyAlignment="1"/>
    <xf numFmtId="0" fontId="11" fillId="24" borderId="9" xfId="0" applyFont="1" applyFill="1" applyBorder="1" applyAlignment="1">
      <alignment wrapText="1"/>
    </xf>
    <xf numFmtId="3" fontId="11" fillId="23" borderId="9" xfId="0" applyNumberFormat="1" applyFont="1" applyFill="1" applyBorder="1" applyAlignment="1">
      <alignment wrapText="1"/>
    </xf>
    <xf numFmtId="3" fontId="14" fillId="40" borderId="9" xfId="0" applyNumberFormat="1" applyFont="1" applyFill="1" applyBorder="1" applyAlignment="1">
      <alignment wrapText="1"/>
    </xf>
    <xf numFmtId="3" fontId="11" fillId="43" borderId="9" xfId="0" applyNumberFormat="1" applyFont="1" applyFill="1" applyBorder="1" applyAlignment="1">
      <alignment wrapText="1"/>
    </xf>
    <xf numFmtId="3" fontId="11" fillId="25" borderId="9" xfId="0" applyNumberFormat="1" applyFont="1" applyFill="1" applyBorder="1" applyAlignment="1">
      <alignment wrapText="1"/>
    </xf>
    <xf numFmtId="2" fontId="11" fillId="23" borderId="9" xfId="0" applyNumberFormat="1" applyFont="1" applyFill="1" applyBorder="1" applyAlignment="1">
      <alignment horizontal="right" wrapText="1"/>
    </xf>
    <xf numFmtId="0" fontId="14" fillId="25" borderId="9" xfId="0" applyFont="1" applyFill="1" applyBorder="1" applyAlignment="1">
      <alignment horizontal="left" wrapText="1"/>
    </xf>
    <xf numFmtId="0" fontId="13" fillId="60" borderId="18" xfId="0" applyFont="1" applyFill="1" applyBorder="1" applyAlignment="1">
      <alignment wrapText="1"/>
    </xf>
    <xf numFmtId="0" fontId="11" fillId="60" borderId="18" xfId="0" applyFont="1" applyFill="1" applyBorder="1" applyAlignment="1">
      <alignment wrapText="1"/>
    </xf>
    <xf numFmtId="3" fontId="11" fillId="62" borderId="18" xfId="0" applyNumberFormat="1" applyFont="1" applyFill="1" applyBorder="1" applyAlignment="1">
      <alignment wrapText="1"/>
    </xf>
    <xf numFmtId="0" fontId="11" fillId="62" borderId="18" xfId="0" applyFont="1" applyFill="1" applyBorder="1" applyAlignment="1">
      <alignment wrapText="1"/>
    </xf>
    <xf numFmtId="0" fontId="11" fillId="60" borderId="18" xfId="0" applyFont="1" applyFill="1" applyBorder="1" applyAlignment="1">
      <alignment horizontal="right" wrapText="1"/>
    </xf>
    <xf numFmtId="3" fontId="11" fillId="62" borderId="18" xfId="0" applyNumberFormat="1" applyFont="1" applyFill="1" applyBorder="1" applyAlignment="1">
      <alignment horizontal="right" wrapText="1"/>
    </xf>
    <xf numFmtId="0" fontId="11" fillId="60" borderId="18" xfId="0" applyFont="1" applyFill="1" applyBorder="1" applyAlignment="1">
      <alignment horizontal="left" wrapText="1"/>
    </xf>
    <xf numFmtId="0" fontId="11" fillId="60" borderId="15" xfId="0" applyFont="1" applyFill="1" applyBorder="1" applyAlignment="1">
      <alignment wrapText="1"/>
    </xf>
    <xf numFmtId="0" fontId="11" fillId="60" borderId="9" xfId="0" applyFont="1" applyFill="1" applyBorder="1" applyAlignment="1">
      <alignment wrapText="1"/>
    </xf>
    <xf numFmtId="0" fontId="11" fillId="60" borderId="15" xfId="0" applyFont="1" applyFill="1" applyBorder="1" applyAlignment="1">
      <alignment horizontal="center" wrapText="1"/>
    </xf>
    <xf numFmtId="0" fontId="11" fillId="60" borderId="9" xfId="0" applyFont="1" applyFill="1" applyBorder="1" applyAlignment="1">
      <alignment horizontal="center" wrapText="1"/>
    </xf>
    <xf numFmtId="0" fontId="69" fillId="60" borderId="18" xfId="0" applyFont="1" applyFill="1" applyBorder="1" applyAlignment="1">
      <alignment wrapText="1"/>
    </xf>
    <xf numFmtId="0" fontId="33" fillId="2" borderId="9" xfId="0" applyFont="1" applyFill="1" applyBorder="1" applyAlignment="1">
      <alignment wrapText="1"/>
    </xf>
    <xf numFmtId="0" fontId="0" fillId="0" borderId="0" xfId="0"/>
    <xf numFmtId="0" fontId="0" fillId="0" borderId="0" xfId="0" applyFont="1" applyAlignment="1"/>
    <xf numFmtId="0" fontId="11" fillId="27" borderId="9" xfId="0" applyFont="1" applyFill="1" applyBorder="1" applyAlignment="1">
      <alignment horizontal="left" wrapText="1"/>
    </xf>
    <xf numFmtId="0" fontId="11" fillId="28" borderId="9" xfId="0" applyFont="1" applyFill="1" applyBorder="1" applyAlignment="1">
      <alignment horizontal="center" wrapText="1"/>
    </xf>
    <xf numFmtId="3" fontId="11" fillId="28" borderId="9" xfId="0" applyNumberFormat="1" applyFont="1" applyFill="1" applyBorder="1" applyAlignment="1">
      <alignment horizontal="center" wrapText="1"/>
    </xf>
    <xf numFmtId="0" fontId="11" fillId="61" borderId="9" xfId="0" applyFont="1" applyFill="1" applyBorder="1" applyAlignment="1">
      <alignment wrapText="1"/>
    </xf>
    <xf numFmtId="3" fontId="11" fillId="70" borderId="21" xfId="0" applyNumberFormat="1" applyFont="1" applyFill="1" applyBorder="1" applyAlignment="1">
      <alignment wrapText="1"/>
    </xf>
    <xf numFmtId="0" fontId="11" fillId="60" borderId="15" xfId="0" applyFont="1" applyFill="1" applyBorder="1" applyAlignment="1">
      <alignment horizontal="center"/>
    </xf>
    <xf numFmtId="0" fontId="11" fillId="71" borderId="9" xfId="0" applyFont="1" applyFill="1" applyBorder="1" applyAlignment="1">
      <alignment horizontal="center"/>
    </xf>
    <xf numFmtId="17" fontId="11" fillId="71" borderId="9" xfId="0" applyNumberFormat="1" applyFont="1" applyFill="1" applyBorder="1"/>
    <xf numFmtId="49" fontId="11" fillId="60" borderId="9" xfId="0" applyNumberFormat="1" applyFont="1" applyFill="1" applyBorder="1" applyAlignment="1">
      <alignment horizontal="right" wrapText="1"/>
    </xf>
    <xf numFmtId="2" fontId="11" fillId="60" borderId="21" xfId="0" applyNumberFormat="1" applyFont="1" applyFill="1" applyBorder="1" applyAlignment="1">
      <alignment horizontal="right" wrapText="1"/>
    </xf>
    <xf numFmtId="49" fontId="11" fillId="60" borderId="9" xfId="0" applyNumberFormat="1" applyFont="1" applyFill="1" applyBorder="1" applyAlignment="1">
      <alignment wrapText="1"/>
    </xf>
    <xf numFmtId="0" fontId="11" fillId="73" borderId="17" xfId="0" applyFont="1" applyFill="1" applyBorder="1" applyAlignment="1">
      <alignment wrapText="1"/>
    </xf>
    <xf numFmtId="3" fontId="11" fillId="75" borderId="9" xfId="0" applyNumberFormat="1" applyFont="1" applyFill="1" applyBorder="1" applyAlignment="1">
      <alignment horizontal="right" wrapText="1"/>
    </xf>
    <xf numFmtId="166" fontId="11" fillId="60" borderId="18" xfId="0" applyNumberFormat="1" applyFont="1" applyFill="1" applyBorder="1" applyAlignment="1">
      <alignment wrapText="1"/>
    </xf>
    <xf numFmtId="0" fontId="11" fillId="97" borderId="18" xfId="0" applyFont="1" applyFill="1" applyBorder="1" applyAlignment="1">
      <alignment wrapText="1"/>
    </xf>
    <xf numFmtId="0" fontId="11" fillId="70" borderId="18" xfId="0" applyFont="1" applyFill="1" applyBorder="1" applyAlignment="1"/>
    <xf numFmtId="3" fontId="14" fillId="63" borderId="18" xfId="0" applyNumberFormat="1" applyFont="1" applyFill="1" applyBorder="1" applyAlignment="1">
      <alignment wrapText="1"/>
    </xf>
    <xf numFmtId="3" fontId="11" fillId="63" borderId="17" xfId="0" applyNumberFormat="1" applyFont="1" applyFill="1" applyBorder="1" applyAlignment="1">
      <alignment horizontal="right" wrapText="1"/>
    </xf>
    <xf numFmtId="0" fontId="64" fillId="0" borderId="0" xfId="0" applyFont="1" applyAlignment="1">
      <alignment horizontal="left"/>
    </xf>
    <xf numFmtId="4" fontId="64" fillId="0" borderId="0" xfId="0" applyNumberFormat="1" applyFont="1" applyAlignment="1">
      <alignment horizontal="left"/>
    </xf>
    <xf numFmtId="3" fontId="11" fillId="70" borderId="18" xfId="0" applyNumberFormat="1" applyFont="1" applyFill="1" applyBorder="1"/>
    <xf numFmtId="0" fontId="11" fillId="4" borderId="21" xfId="0" applyFont="1" applyFill="1" applyBorder="1" applyAlignment="1">
      <alignment horizontal="right" wrapText="1"/>
    </xf>
    <xf numFmtId="3" fontId="11" fillId="4" borderId="21" xfId="0" applyNumberFormat="1" applyFont="1" applyFill="1" applyBorder="1" applyAlignment="1">
      <alignment horizontal="right" wrapText="1"/>
    </xf>
    <xf numFmtId="3" fontId="11" fillId="62" borderId="17" xfId="0" applyNumberFormat="1" applyFont="1" applyFill="1" applyBorder="1" applyAlignment="1">
      <alignment horizontal="right" wrapText="1"/>
    </xf>
    <xf numFmtId="0" fontId="11" fillId="71" borderId="9" xfId="0" applyFont="1" applyFill="1" applyBorder="1"/>
    <xf numFmtId="4" fontId="11" fillId="71" borderId="9" xfId="0" applyNumberFormat="1" applyFont="1" applyFill="1" applyBorder="1" applyAlignment="1"/>
    <xf numFmtId="3" fontId="11" fillId="62" borderId="9" xfId="0" applyNumberFormat="1" applyFont="1" applyFill="1" applyBorder="1" applyAlignment="1"/>
    <xf numFmtId="3" fontId="11" fillId="23" borderId="18" xfId="2" applyNumberFormat="1" applyFont="1" applyFill="1" applyBorder="1" applyAlignment="1">
      <alignment horizontal="right"/>
    </xf>
    <xf numFmtId="3" fontId="11" fillId="92" borderId="9" xfId="0" applyNumberFormat="1" applyFont="1" applyFill="1" applyBorder="1" applyAlignment="1">
      <alignment wrapText="1"/>
    </xf>
    <xf numFmtId="3" fontId="11" fillId="46" borderId="9" xfId="2" applyNumberFormat="1" applyFont="1" applyFill="1" applyBorder="1" applyAlignment="1">
      <alignment wrapText="1"/>
    </xf>
    <xf numFmtId="0" fontId="67" fillId="21" borderId="9" xfId="0" applyFont="1" applyFill="1" applyBorder="1"/>
    <xf numFmtId="0" fontId="67" fillId="21" borderId="0" xfId="0" applyFont="1" applyFill="1"/>
    <xf numFmtId="0" fontId="68" fillId="21" borderId="9" xfId="0" applyFont="1" applyFill="1" applyBorder="1"/>
    <xf numFmtId="3" fontId="14" fillId="23" borderId="18" xfId="0" applyNumberFormat="1" applyFont="1" applyFill="1" applyBorder="1"/>
    <xf numFmtId="165" fontId="14" fillId="23" borderId="18" xfId="0" applyNumberFormat="1" applyFont="1" applyFill="1" applyBorder="1" applyAlignment="1">
      <alignment horizontal="left" wrapText="1"/>
    </xf>
    <xf numFmtId="3" fontId="14" fillId="43" borderId="18" xfId="0" applyNumberFormat="1" applyFont="1" applyFill="1" applyBorder="1" applyAlignment="1">
      <alignment horizontal="right"/>
    </xf>
    <xf numFmtId="3" fontId="11" fillId="43" borderId="18" xfId="0" applyNumberFormat="1" applyFont="1" applyFill="1" applyBorder="1" applyAlignment="1">
      <alignment wrapText="1"/>
    </xf>
    <xf numFmtId="0" fontId="22" fillId="52" borderId="18" xfId="0" applyFont="1" applyFill="1" applyBorder="1" applyAlignment="1">
      <alignment horizontal="center" wrapText="1"/>
    </xf>
    <xf numFmtId="0" fontId="13" fillId="22" borderId="18" xfId="3" applyFont="1" applyFill="1" applyBorder="1" applyAlignment="1">
      <alignment wrapText="1"/>
    </xf>
    <xf numFmtId="0" fontId="11" fillId="22" borderId="18" xfId="3" applyFont="1" applyFill="1" applyBorder="1" applyAlignment="1">
      <alignment wrapText="1"/>
    </xf>
    <xf numFmtId="0" fontId="11" fillId="22" borderId="18" xfId="3" applyFont="1" applyFill="1" applyBorder="1" applyAlignment="1">
      <alignment horizontal="center" wrapText="1"/>
    </xf>
    <xf numFmtId="3" fontId="11" fillId="24" borderId="18" xfId="3" applyNumberFormat="1" applyFont="1" applyFill="1" applyBorder="1" applyAlignment="1">
      <alignment wrapText="1"/>
    </xf>
    <xf numFmtId="3" fontId="11" fillId="25" borderId="18" xfId="3" applyNumberFormat="1" applyFont="1" applyFill="1" applyBorder="1" applyAlignment="1">
      <alignment wrapText="1"/>
    </xf>
    <xf numFmtId="3" fontId="11" fillId="22" borderId="18" xfId="3" applyNumberFormat="1" applyFont="1" applyFill="1" applyBorder="1" applyAlignment="1">
      <alignment wrapText="1"/>
    </xf>
    <xf numFmtId="1" fontId="14" fillId="25" borderId="18" xfId="3" applyNumberFormat="1" applyFont="1" applyFill="1" applyBorder="1" applyAlignment="1">
      <alignment horizontal="right" wrapText="1"/>
    </xf>
    <xf numFmtId="0" fontId="14" fillId="22" borderId="18" xfId="3" applyFont="1" applyFill="1" applyBorder="1" applyAlignment="1">
      <alignment horizontal="left" wrapText="1"/>
    </xf>
    <xf numFmtId="0" fontId="11" fillId="24" borderId="18" xfId="3" applyFont="1" applyFill="1" applyBorder="1" applyAlignment="1">
      <alignment horizontal="right" wrapText="1"/>
    </xf>
    <xf numFmtId="0" fontId="11" fillId="32" borderId="9" xfId="3" applyFont="1" applyFill="1" applyBorder="1" applyAlignment="1">
      <alignment horizontal="right" wrapText="1"/>
    </xf>
    <xf numFmtId="0" fontId="7" fillId="32" borderId="9" xfId="3" applyFont="1" applyFill="1" applyBorder="1" applyAlignment="1">
      <alignment horizontal="center" wrapText="1"/>
    </xf>
    <xf numFmtId="0" fontId="7" fillId="33" borderId="9" xfId="3" applyFont="1" applyFill="1" applyBorder="1" applyAlignment="1">
      <alignment horizontal="center" wrapText="1"/>
    </xf>
    <xf numFmtId="0" fontId="11" fillId="45" borderId="18" xfId="0" applyFont="1" applyFill="1" applyBorder="1" applyAlignment="1">
      <alignment wrapText="1"/>
    </xf>
    <xf numFmtId="3" fontId="11" fillId="45" borderId="18" xfId="0" applyNumberFormat="1" applyFont="1" applyFill="1" applyBorder="1" applyAlignment="1">
      <alignment wrapText="1"/>
    </xf>
    <xf numFmtId="165" fontId="14" fillId="44" borderId="18" xfId="0" applyNumberFormat="1" applyFont="1" applyFill="1" applyBorder="1" applyAlignment="1">
      <alignment horizontal="left" wrapText="1"/>
    </xf>
    <xf numFmtId="2" fontId="11" fillId="45" borderId="18" xfId="0" applyNumberFormat="1" applyFont="1" applyFill="1" applyBorder="1" applyAlignment="1">
      <alignment horizontal="right" wrapText="1"/>
    </xf>
    <xf numFmtId="0" fontId="33" fillId="18" borderId="23" xfId="0" applyFont="1" applyFill="1" applyBorder="1" applyAlignment="1">
      <alignment horizontal="center" wrapText="1"/>
    </xf>
    <xf numFmtId="0" fontId="11" fillId="61" borderId="9" xfId="0" applyFont="1" applyFill="1" applyBorder="1" applyAlignment="1">
      <alignment horizontal="center" wrapText="1"/>
    </xf>
    <xf numFmtId="0" fontId="66" fillId="89" borderId="9" xfId="0" applyFont="1" applyFill="1" applyBorder="1" applyAlignment="1">
      <alignment horizontal="center"/>
    </xf>
    <xf numFmtId="0" fontId="66" fillId="3" borderId="9" xfId="0" applyFont="1" applyFill="1" applyBorder="1" applyAlignment="1"/>
    <xf numFmtId="0" fontId="66" fillId="3" borderId="9" xfId="0" applyFont="1" applyFill="1" applyBorder="1" applyAlignment="1">
      <alignment horizontal="center"/>
    </xf>
    <xf numFmtId="0" fontId="7" fillId="31" borderId="9" xfId="0" applyFont="1" applyFill="1" applyBorder="1" applyAlignment="1">
      <alignment horizontal="left" wrapText="1"/>
    </xf>
    <xf numFmtId="0" fontId="26" fillId="55" borderId="11" xfId="0" applyFont="1" applyFill="1" applyBorder="1" applyAlignment="1">
      <alignment vertical="center" wrapText="1"/>
    </xf>
    <xf numFmtId="0" fontId="19" fillId="60" borderId="21" xfId="0" applyFont="1" applyFill="1" applyBorder="1" applyAlignment="1">
      <alignment horizontal="left" wrapText="1"/>
    </xf>
    <xf numFmtId="166" fontId="11" fillId="75" borderId="21" xfId="0" applyNumberFormat="1" applyFont="1" applyFill="1" applyBorder="1" applyAlignment="1">
      <alignment horizontal="left" wrapText="1"/>
    </xf>
    <xf numFmtId="166" fontId="11" fillId="60" borderId="21" xfId="0" applyNumberFormat="1" applyFont="1" applyFill="1" applyBorder="1" applyAlignment="1">
      <alignment horizontal="left" wrapText="1"/>
    </xf>
    <xf numFmtId="3" fontId="11" fillId="75" borderId="21" xfId="0" applyNumberFormat="1" applyFont="1" applyFill="1" applyBorder="1" applyAlignment="1">
      <alignment wrapText="1"/>
    </xf>
    <xf numFmtId="0" fontId="21" fillId="60" borderId="21" xfId="0" applyFont="1" applyFill="1" applyBorder="1"/>
    <xf numFmtId="2" fontId="11" fillId="62" borderId="21" xfId="0" applyNumberFormat="1" applyFont="1" applyFill="1" applyBorder="1" applyAlignment="1">
      <alignment horizontal="right" wrapText="1"/>
    </xf>
    <xf numFmtId="1" fontId="11" fillId="60" borderId="21" xfId="0" applyNumberFormat="1" applyFont="1" applyFill="1" applyBorder="1" applyAlignment="1">
      <alignment horizontal="right" wrapText="1"/>
    </xf>
    <xf numFmtId="0" fontId="13" fillId="60" borderId="22" xfId="0" applyFont="1" applyFill="1" applyBorder="1" applyAlignment="1"/>
    <xf numFmtId="171" fontId="11" fillId="62" borderId="22" xfId="0" applyNumberFormat="1" applyFont="1" applyFill="1" applyBorder="1" applyAlignment="1">
      <alignment horizontal="right" wrapText="1"/>
    </xf>
    <xf numFmtId="166" fontId="11" fillId="60" borderId="22" xfId="0" applyNumberFormat="1" applyFont="1" applyFill="1" applyBorder="1" applyAlignment="1">
      <alignment horizontal="left" wrapText="1"/>
    </xf>
    <xf numFmtId="166" fontId="11" fillId="62" borderId="22" xfId="0" applyNumberFormat="1" applyFont="1" applyFill="1" applyBorder="1" applyAlignment="1">
      <alignment horizontal="left" wrapText="1"/>
    </xf>
    <xf numFmtId="165" fontId="14" fillId="75" borderId="22" xfId="0" applyNumberFormat="1" applyFont="1" applyFill="1" applyBorder="1" applyAlignment="1">
      <alignment horizontal="left" wrapText="1"/>
    </xf>
    <xf numFmtId="3" fontId="11" fillId="62" borderId="22" xfId="0" applyNumberFormat="1" applyFont="1" applyFill="1" applyBorder="1" applyAlignment="1">
      <alignment horizontal="right" wrapText="1"/>
    </xf>
    <xf numFmtId="3" fontId="11" fillId="70" borderId="22" xfId="0" applyNumberFormat="1" applyFont="1" applyFill="1" applyBorder="1" applyAlignment="1">
      <alignment horizontal="right" wrapText="1"/>
    </xf>
    <xf numFmtId="0" fontId="21" fillId="76" borderId="11" xfId="0" applyFont="1" applyFill="1" applyBorder="1"/>
    <xf numFmtId="0" fontId="47" fillId="26" borderId="18" xfId="0" applyFont="1" applyFill="1" applyBorder="1" applyAlignment="1">
      <alignment horizontal="left" wrapText="1"/>
    </xf>
    <xf numFmtId="0" fontId="47" fillId="19" borderId="23" xfId="0" applyFont="1" applyFill="1" applyBorder="1" applyAlignment="1">
      <alignment horizontal="left" wrapText="1"/>
    </xf>
    <xf numFmtId="4" fontId="7" fillId="22" borderId="18" xfId="2" applyNumberFormat="1" applyFont="1" applyFill="1" applyBorder="1" applyAlignment="1"/>
    <xf numFmtId="0" fontId="47" fillId="22" borderId="9" xfId="2" applyFont="1" applyFill="1" applyBorder="1" applyAlignment="1">
      <alignment horizontal="left" wrapText="1"/>
    </xf>
    <xf numFmtId="0" fontId="7" fillId="2" borderId="22" xfId="0" applyFont="1" applyFill="1" applyBorder="1" applyAlignment="1">
      <alignment wrapText="1"/>
    </xf>
    <xf numFmtId="0" fontId="7" fillId="2" borderId="9" xfId="0" applyFont="1" applyFill="1" applyBorder="1" applyAlignment="1">
      <alignment wrapText="1"/>
    </xf>
    <xf numFmtId="0" fontId="47" fillId="17" borderId="9" xfId="0" applyFont="1" applyFill="1" applyBorder="1" applyAlignment="1">
      <alignment horizontal="left" wrapText="1"/>
    </xf>
    <xf numFmtId="0" fontId="47" fillId="26" borderId="22" xfId="0" applyFont="1" applyFill="1" applyBorder="1" applyAlignment="1">
      <alignment horizontal="left" wrapText="1"/>
    </xf>
    <xf numFmtId="0" fontId="47" fillId="26" borderId="9" xfId="0" applyFont="1" applyFill="1" applyBorder="1" applyAlignment="1">
      <alignment horizontal="left" wrapText="1"/>
    </xf>
    <xf numFmtId="0" fontId="47" fillId="19" borderId="9" xfId="0" applyFont="1" applyFill="1" applyBorder="1" applyAlignment="1">
      <alignment horizontal="left" wrapText="1"/>
    </xf>
    <xf numFmtId="0" fontId="47" fillId="22" borderId="9" xfId="0" applyFont="1" applyFill="1" applyBorder="1" applyAlignment="1">
      <alignment horizontal="left" wrapText="1"/>
    </xf>
    <xf numFmtId="0" fontId="7" fillId="26" borderId="17" xfId="0" applyFont="1" applyFill="1" applyBorder="1" applyAlignment="1">
      <alignment wrapText="1"/>
    </xf>
    <xf numFmtId="0" fontId="7" fillId="22" borderId="18" xfId="0" applyFont="1" applyFill="1" applyBorder="1" applyAlignment="1">
      <alignment wrapText="1"/>
    </xf>
    <xf numFmtId="0" fontId="7" fillId="26" borderId="18" xfId="0" applyFont="1" applyFill="1" applyBorder="1" applyAlignment="1">
      <alignment wrapText="1"/>
    </xf>
    <xf numFmtId="0" fontId="47" fillId="22" borderId="18" xfId="0" applyFont="1" applyFill="1" applyBorder="1" applyAlignment="1">
      <alignment horizontal="left" wrapText="1"/>
    </xf>
    <xf numFmtId="0" fontId="47" fillId="26" borderId="21" xfId="0" applyFont="1" applyFill="1" applyBorder="1" applyAlignment="1">
      <alignment horizontal="left" wrapText="1"/>
    </xf>
    <xf numFmtId="0" fontId="7" fillId="22" borderId="9" xfId="0" applyFont="1" applyFill="1" applyBorder="1" applyAlignment="1">
      <alignment wrapText="1"/>
    </xf>
    <xf numFmtId="3" fontId="67" fillId="21" borderId="9" xfId="0" applyNumberFormat="1" applyFont="1" applyFill="1" applyBorder="1"/>
    <xf numFmtId="3" fontId="34" fillId="26" borderId="17" xfId="0" applyNumberFormat="1" applyFont="1" applyFill="1" applyBorder="1" applyAlignment="1">
      <alignment wrapText="1"/>
    </xf>
    <xf numFmtId="0" fontId="34" fillId="21" borderId="18" xfId="0" applyFont="1" applyFill="1" applyBorder="1" applyAlignment="1">
      <alignment wrapText="1"/>
    </xf>
    <xf numFmtId="0" fontId="34" fillId="0" borderId="18" xfId="0" applyFont="1" applyBorder="1" applyAlignment="1">
      <alignment wrapText="1"/>
    </xf>
    <xf numFmtId="0" fontId="34" fillId="26" borderId="21" xfId="0" applyFont="1" applyFill="1" applyBorder="1" applyAlignment="1">
      <alignment wrapText="1"/>
    </xf>
    <xf numFmtId="0" fontId="34" fillId="22" borderId="18" xfId="0" applyFont="1" applyFill="1" applyBorder="1" applyAlignment="1">
      <alignment wrapText="1"/>
    </xf>
    <xf numFmtId="0" fontId="7" fillId="62" borderId="18" xfId="0" applyFont="1" applyFill="1" applyBorder="1" applyAlignment="1">
      <alignment wrapText="1"/>
    </xf>
    <xf numFmtId="4" fontId="7" fillId="71" borderId="18" xfId="0" applyNumberFormat="1" applyFont="1" applyFill="1" applyBorder="1" applyAlignment="1"/>
    <xf numFmtId="0" fontId="7" fillId="70" borderId="18" xfId="0" applyFont="1" applyFill="1" applyBorder="1" applyAlignment="1">
      <alignment wrapText="1"/>
    </xf>
    <xf numFmtId="4" fontId="7" fillId="60" borderId="18" xfId="0" applyNumberFormat="1" applyFont="1" applyFill="1" applyBorder="1" applyAlignment="1"/>
    <xf numFmtId="3" fontId="7" fillId="60" borderId="18" xfId="0" applyNumberFormat="1" applyFont="1" applyFill="1" applyBorder="1" applyAlignment="1">
      <alignment wrapText="1"/>
    </xf>
    <xf numFmtId="3" fontId="7" fillId="60" borderId="18" xfId="0" applyNumberFormat="1" applyFont="1" applyFill="1" applyBorder="1" applyAlignment="1">
      <alignment horizontal="left" wrapText="1"/>
    </xf>
    <xf numFmtId="0" fontId="7" fillId="4" borderId="21" xfId="0" applyFont="1" applyFill="1" applyBorder="1" applyAlignment="1">
      <alignment horizontal="center" wrapText="1"/>
    </xf>
    <xf numFmtId="3" fontId="7" fillId="60" borderId="21" xfId="0" applyNumberFormat="1" applyFont="1" applyFill="1" applyBorder="1" applyAlignment="1">
      <alignment wrapText="1"/>
    </xf>
    <xf numFmtId="0" fontId="7" fillId="76" borderId="11" xfId="0" applyFont="1" applyFill="1" applyBorder="1" applyAlignment="1">
      <alignment wrapText="1"/>
    </xf>
    <xf numFmtId="0" fontId="7" fillId="72" borderId="18" xfId="0" applyFont="1" applyFill="1" applyBorder="1" applyAlignment="1">
      <alignment wrapText="1"/>
    </xf>
    <xf numFmtId="0" fontId="65" fillId="41" borderId="11" xfId="0" applyFont="1" applyFill="1" applyBorder="1"/>
    <xf numFmtId="0" fontId="7" fillId="77" borderId="11" xfId="0" applyFont="1" applyFill="1" applyBorder="1" applyAlignment="1">
      <alignment wrapText="1"/>
    </xf>
    <xf numFmtId="0" fontId="65" fillId="0" borderId="26" xfId="0" applyFont="1" applyBorder="1"/>
    <xf numFmtId="3" fontId="7" fillId="77" borderId="11" xfId="0" applyNumberFormat="1" applyFont="1" applyFill="1" applyBorder="1" applyAlignment="1">
      <alignment wrapText="1"/>
    </xf>
    <xf numFmtId="4" fontId="13" fillId="60" borderId="18" xfId="0" applyNumberFormat="1" applyFont="1" applyFill="1" applyBorder="1" applyAlignment="1"/>
    <xf numFmtId="4" fontId="13" fillId="61" borderId="18" xfId="0" applyNumberFormat="1" applyFont="1" applyFill="1" applyBorder="1" applyAlignment="1"/>
    <xf numFmtId="0" fontId="11" fillId="22" borderId="18" xfId="3" applyFont="1" applyFill="1" applyBorder="1" applyAlignment="1">
      <alignment horizontal="left" wrapText="1"/>
    </xf>
    <xf numFmtId="0" fontId="67" fillId="21" borderId="9" xfId="0" applyFont="1" applyFill="1" applyBorder="1" applyAlignment="1">
      <alignment horizontal="center"/>
    </xf>
    <xf numFmtId="0" fontId="0" fillId="41" borderId="11" xfId="0" applyFont="1" applyFill="1" applyBorder="1" applyAlignment="1">
      <alignment horizontal="right"/>
    </xf>
    <xf numFmtId="0" fontId="7" fillId="16" borderId="11" xfId="0" applyFont="1" applyFill="1" applyBorder="1" applyAlignment="1">
      <alignment horizontal="right" wrapText="1"/>
    </xf>
    <xf numFmtId="0" fontId="7" fillId="48" borderId="11" xfId="0" applyFont="1" applyFill="1" applyBorder="1" applyAlignment="1">
      <alignment horizontal="right" wrapText="1"/>
    </xf>
    <xf numFmtId="0" fontId="67" fillId="21" borderId="9" xfId="0" applyFont="1" applyFill="1" applyBorder="1" applyAlignment="1">
      <alignment horizontal="right"/>
    </xf>
    <xf numFmtId="4" fontId="11" fillId="60" borderId="18" xfId="0" applyNumberFormat="1" applyFont="1" applyFill="1" applyBorder="1" applyAlignment="1">
      <alignment horizontal="left"/>
    </xf>
    <xf numFmtId="49" fontId="11" fillId="60" borderId="18" xfId="0" applyNumberFormat="1" applyFont="1" applyFill="1" applyBorder="1" applyAlignment="1">
      <alignment horizontal="left" wrapText="1"/>
    </xf>
    <xf numFmtId="49" fontId="11" fillId="60" borderId="9" xfId="0" applyNumberFormat="1" applyFont="1" applyFill="1" applyBorder="1" applyAlignment="1">
      <alignment horizontal="left" wrapText="1"/>
    </xf>
    <xf numFmtId="49" fontId="11" fillId="61" borderId="18" xfId="0" applyNumberFormat="1" applyFont="1" applyFill="1" applyBorder="1" applyAlignment="1">
      <alignment horizontal="left" wrapText="1"/>
    </xf>
    <xf numFmtId="49" fontId="11" fillId="71" borderId="18" xfId="0" applyNumberFormat="1" applyFont="1" applyFill="1" applyBorder="1" applyAlignment="1">
      <alignment horizontal="left"/>
    </xf>
    <xf numFmtId="49" fontId="11" fillId="71" borderId="14" xfId="0" applyNumberFormat="1" applyFont="1" applyFill="1" applyBorder="1" applyAlignment="1">
      <alignment horizontal="left"/>
    </xf>
    <xf numFmtId="49" fontId="11" fillId="72" borderId="18" xfId="0" applyNumberFormat="1" applyFont="1" applyFill="1" applyBorder="1" applyAlignment="1">
      <alignment horizontal="left" wrapText="1"/>
    </xf>
    <xf numFmtId="49" fontId="11" fillId="60" borderId="18" xfId="0" applyNumberFormat="1" applyFont="1" applyFill="1" applyBorder="1" applyAlignment="1">
      <alignment horizontal="left"/>
    </xf>
    <xf numFmtId="49" fontId="11" fillId="60" borderId="14" xfId="0" applyNumberFormat="1" applyFont="1" applyFill="1" applyBorder="1" applyAlignment="1">
      <alignment horizontal="left"/>
    </xf>
    <xf numFmtId="49" fontId="11" fillId="60" borderId="21" xfId="0" applyNumberFormat="1" applyFont="1" applyFill="1" applyBorder="1" applyAlignment="1">
      <alignment horizontal="left" wrapText="1"/>
    </xf>
    <xf numFmtId="49" fontId="11" fillId="60" borderId="21" xfId="0" applyNumberFormat="1" applyFont="1" applyFill="1" applyBorder="1" applyAlignment="1">
      <alignment horizontal="left"/>
    </xf>
    <xf numFmtId="4" fontId="11" fillId="71" borderId="9" xfId="0" applyNumberFormat="1" applyFont="1" applyFill="1" applyBorder="1" applyAlignment="1">
      <alignment horizontal="left"/>
    </xf>
    <xf numFmtId="0" fontId="11" fillId="62" borderId="22" xfId="0" applyFont="1" applyFill="1" applyBorder="1" applyAlignment="1">
      <alignment horizontal="left" wrapText="1"/>
    </xf>
    <xf numFmtId="0" fontId="21" fillId="60" borderId="18" xfId="0" applyFont="1" applyFill="1" applyBorder="1" applyAlignment="1">
      <alignment horizontal="center"/>
    </xf>
    <xf numFmtId="0" fontId="11" fillId="71" borderId="18" xfId="0" applyFont="1" applyFill="1" applyBorder="1" applyAlignment="1">
      <alignment horizontal="center"/>
    </xf>
    <xf numFmtId="0" fontId="0" fillId="41" borderId="11" xfId="0" applyFill="1" applyBorder="1" applyAlignment="1">
      <alignment horizontal="center"/>
    </xf>
    <xf numFmtId="0" fontId="0" fillId="0" borderId="0" xfId="0" applyAlignment="1">
      <alignment horizontal="center"/>
    </xf>
    <xf numFmtId="0" fontId="45" fillId="77" borderId="11" xfId="0" applyFont="1" applyFill="1" applyBorder="1" applyAlignment="1">
      <alignment horizontal="center"/>
    </xf>
    <xf numFmtId="0" fontId="33" fillId="18" borderId="22" xfId="0" applyFont="1" applyFill="1" applyBorder="1" applyAlignment="1">
      <alignment horizontal="center" wrapText="1"/>
    </xf>
    <xf numFmtId="0" fontId="0" fillId="0" borderId="26" xfId="0" applyFont="1" applyBorder="1" applyAlignment="1">
      <alignment horizontal="center"/>
    </xf>
    <xf numFmtId="0" fontId="10" fillId="21" borderId="2" xfId="0" applyFont="1" applyFill="1" applyBorder="1" applyAlignment="1">
      <alignment horizontal="center"/>
    </xf>
    <xf numFmtId="0" fontId="25" fillId="41" borderId="9" xfId="0" applyFont="1" applyFill="1" applyBorder="1" applyAlignment="1">
      <alignment wrapText="1"/>
    </xf>
    <xf numFmtId="3" fontId="44" fillId="35" borderId="0" xfId="0" applyNumberFormat="1" applyFont="1" applyFill="1" applyBorder="1" applyAlignment="1">
      <alignment wrapText="1"/>
    </xf>
    <xf numFmtId="0" fontId="25" fillId="22" borderId="0" xfId="0" applyFont="1" applyFill="1" applyBorder="1" applyAlignment="1">
      <alignment wrapText="1"/>
    </xf>
    <xf numFmtId="0" fontId="29" fillId="22" borderId="0" xfId="0" applyFont="1" applyFill="1" applyBorder="1" applyAlignment="1">
      <alignment wrapText="1"/>
    </xf>
    <xf numFmtId="3" fontId="51" fillId="0" borderId="0" xfId="0" applyNumberFormat="1" applyFont="1" applyFill="1" applyBorder="1" applyAlignment="1"/>
    <xf numFmtId="0" fontId="11" fillId="26" borderId="20" xfId="0" applyFont="1" applyFill="1" applyBorder="1" applyAlignment="1">
      <alignment wrapText="1"/>
    </xf>
    <xf numFmtId="0" fontId="33" fillId="35" borderId="17" xfId="0" applyFont="1" applyFill="1" applyBorder="1" applyAlignment="1">
      <alignment wrapText="1"/>
    </xf>
    <xf numFmtId="0" fontId="35" fillId="0" borderId="17" xfId="0" applyFont="1" applyBorder="1" applyAlignment="1">
      <alignment wrapText="1"/>
    </xf>
    <xf numFmtId="0" fontId="33" fillId="0" borderId="17" xfId="0" applyFont="1" applyFill="1" applyBorder="1" applyAlignment="1">
      <alignment wrapText="1"/>
    </xf>
    <xf numFmtId="0" fontId="33" fillId="0" borderId="17" xfId="0" applyFont="1" applyBorder="1" applyAlignment="1">
      <alignment wrapText="1"/>
    </xf>
    <xf numFmtId="0" fontId="33" fillId="0" borderId="17" xfId="0" applyFont="1" applyBorder="1" applyAlignment="1">
      <alignment horizontal="center" wrapText="1"/>
    </xf>
    <xf numFmtId="0" fontId="33" fillId="0" borderId="17" xfId="0" applyFont="1" applyBorder="1" applyAlignment="1">
      <alignment horizontal="left" wrapText="1"/>
    </xf>
    <xf numFmtId="0" fontId="33" fillId="0" borderId="17" xfId="0" applyFont="1" applyBorder="1" applyAlignment="1">
      <alignment horizontal="right" wrapText="1"/>
    </xf>
    <xf numFmtId="3" fontId="33" fillId="0" borderId="17" xfId="0" applyNumberFormat="1" applyFont="1" applyBorder="1" applyAlignment="1">
      <alignment wrapText="1"/>
    </xf>
    <xf numFmtId="0" fontId="34" fillId="35" borderId="17" xfId="0" applyFont="1" applyFill="1" applyBorder="1" applyAlignment="1">
      <alignment wrapText="1"/>
    </xf>
    <xf numFmtId="3" fontId="33" fillId="37" borderId="17" xfId="0" applyNumberFormat="1" applyFont="1" applyFill="1" applyBorder="1" applyAlignment="1">
      <alignment wrapText="1"/>
    </xf>
    <xf numFmtId="0" fontId="33" fillId="0" borderId="20" xfId="0" applyFont="1" applyBorder="1" applyAlignment="1">
      <alignment wrapText="1"/>
    </xf>
    <xf numFmtId="3" fontId="11" fillId="73" borderId="14" xfId="0" applyNumberFormat="1" applyFont="1" applyFill="1" applyBorder="1" applyAlignment="1">
      <alignment wrapText="1"/>
    </xf>
    <xf numFmtId="49" fontId="14" fillId="61" borderId="17" xfId="0" applyNumberFormat="1" applyFont="1" applyFill="1" applyBorder="1" applyAlignment="1">
      <alignment horizontal="left" wrapText="1"/>
    </xf>
    <xf numFmtId="3" fontId="11" fillId="62" borderId="15" xfId="0" applyNumberFormat="1" applyFont="1" applyFill="1" applyBorder="1" applyAlignment="1">
      <alignment horizontal="right" wrapText="1"/>
    </xf>
    <xf numFmtId="0" fontId="11" fillId="60" borderId="13" xfId="0" applyFont="1" applyFill="1" applyBorder="1" applyAlignment="1">
      <alignment wrapText="1"/>
    </xf>
    <xf numFmtId="0" fontId="11" fillId="60" borderId="19" xfId="0" applyFont="1" applyFill="1" applyBorder="1" applyAlignment="1"/>
    <xf numFmtId="0" fontId="2" fillId="0" borderId="0" xfId="0" applyFont="1" applyBorder="1" applyAlignment="1">
      <alignment horizontal="right"/>
    </xf>
    <xf numFmtId="3" fontId="0" fillId="0" borderId="0" xfId="0" applyNumberFormat="1" applyFont="1" applyBorder="1" applyAlignment="1"/>
    <xf numFmtId="0" fontId="28" fillId="0" borderId="0" xfId="0" applyFont="1" applyBorder="1"/>
    <xf numFmtId="0" fontId="30" fillId="59" borderId="0" xfId="0" applyFont="1" applyFill="1" applyBorder="1"/>
    <xf numFmtId="3" fontId="38" fillId="8" borderId="11" xfId="0" applyNumberFormat="1" applyFont="1" applyFill="1" applyBorder="1" applyAlignment="1">
      <alignment horizontal="center" wrapText="1"/>
    </xf>
    <xf numFmtId="3" fontId="33" fillId="18" borderId="22" xfId="0" applyNumberFormat="1" applyFont="1" applyFill="1" applyBorder="1" applyAlignment="1">
      <alignment wrapText="1"/>
    </xf>
    <xf numFmtId="3" fontId="33" fillId="65" borderId="11" xfId="0" applyNumberFormat="1" applyFont="1" applyFill="1" applyBorder="1" applyAlignment="1">
      <alignment wrapText="1"/>
    </xf>
    <xf numFmtId="3" fontId="0" fillId="0" borderId="26" xfId="0" applyNumberFormat="1" applyFont="1" applyBorder="1" applyAlignment="1"/>
    <xf numFmtId="3" fontId="33" fillId="65" borderId="2" xfId="0" applyNumberFormat="1" applyFont="1" applyFill="1" applyBorder="1" applyAlignment="1">
      <alignment wrapText="1"/>
    </xf>
    <xf numFmtId="3" fontId="10" fillId="21" borderId="2" xfId="0" applyNumberFormat="1" applyFont="1" applyFill="1" applyBorder="1" applyAlignment="1"/>
    <xf numFmtId="3" fontId="27" fillId="56" borderId="11" xfId="0" applyNumberFormat="1" applyFont="1" applyFill="1" applyBorder="1" applyAlignment="1"/>
    <xf numFmtId="3" fontId="2" fillId="55" borderId="11" xfId="0" applyNumberFormat="1" applyFont="1" applyFill="1" applyBorder="1" applyAlignment="1"/>
    <xf numFmtId="0" fontId="11" fillId="27" borderId="23" xfId="0" applyFont="1" applyFill="1" applyBorder="1" applyAlignment="1">
      <alignment wrapText="1"/>
    </xf>
    <xf numFmtId="0" fontId="11" fillId="21" borderId="9" xfId="2" applyFont="1" applyFill="1" applyBorder="1" applyAlignment="1">
      <alignment wrapText="1"/>
    </xf>
    <xf numFmtId="0" fontId="11" fillId="18" borderId="21" xfId="2" applyFont="1" applyFill="1" applyBorder="1" applyAlignment="1">
      <alignment wrapText="1"/>
    </xf>
    <xf numFmtId="0" fontId="13" fillId="22" borderId="18" xfId="2" applyFont="1" applyFill="1" applyBorder="1" applyAlignment="1">
      <alignment wrapText="1"/>
    </xf>
    <xf numFmtId="0" fontId="13" fillId="21" borderId="9" xfId="2" applyFont="1" applyFill="1" applyBorder="1" applyAlignment="1">
      <alignment wrapText="1"/>
    </xf>
    <xf numFmtId="0" fontId="13" fillId="18" borderId="21" xfId="2" applyFont="1" applyFill="1" applyBorder="1" applyAlignment="1">
      <alignment wrapText="1"/>
    </xf>
    <xf numFmtId="0" fontId="11" fillId="22" borderId="23" xfId="2" applyFont="1" applyFill="1" applyBorder="1" applyAlignment="1"/>
    <xf numFmtId="0" fontId="11" fillId="22" borderId="15" xfId="2" applyFont="1" applyFill="1" applyBorder="1" applyAlignment="1">
      <alignment horizontal="left" wrapText="1"/>
    </xf>
    <xf numFmtId="0" fontId="11" fillId="17" borderId="26" xfId="2" applyFont="1" applyFill="1" applyBorder="1" applyAlignment="1">
      <alignment wrapText="1"/>
    </xf>
    <xf numFmtId="0" fontId="11" fillId="22" borderId="18" xfId="2" applyFont="1" applyFill="1" applyBorder="1" applyAlignment="1">
      <alignment horizontal="left" wrapText="1"/>
    </xf>
    <xf numFmtId="0" fontId="11" fillId="22" borderId="23" xfId="2" applyFont="1" applyFill="1" applyBorder="1" applyAlignment="1">
      <alignment horizontal="center"/>
    </xf>
    <xf numFmtId="0" fontId="11" fillId="21" borderId="9" xfId="2" applyFont="1" applyFill="1" applyBorder="1" applyAlignment="1">
      <alignment horizontal="center" wrapText="1"/>
    </xf>
    <xf numFmtId="0" fontId="11" fillId="18" borderId="21" xfId="2" applyFont="1" applyFill="1" applyBorder="1" applyAlignment="1">
      <alignment horizontal="center" wrapText="1"/>
    </xf>
    <xf numFmtId="0" fontId="11" fillId="18" borderId="21" xfId="2" applyFont="1" applyFill="1" applyBorder="1" applyAlignment="1">
      <alignment horizontal="right" wrapText="1"/>
    </xf>
    <xf numFmtId="0" fontId="11" fillId="22" borderId="23" xfId="2" applyFont="1" applyFill="1" applyBorder="1"/>
    <xf numFmtId="0" fontId="11" fillId="22" borderId="3" xfId="2" applyFont="1" applyFill="1" applyBorder="1"/>
    <xf numFmtId="4" fontId="11" fillId="22" borderId="23" xfId="2" applyNumberFormat="1" applyFont="1" applyFill="1" applyBorder="1" applyAlignment="1"/>
    <xf numFmtId="0" fontId="11" fillId="24" borderId="0" xfId="2" applyFont="1" applyFill="1" applyBorder="1" applyAlignment="1">
      <alignment horizontal="left" wrapText="1"/>
    </xf>
    <xf numFmtId="0" fontId="11" fillId="5" borderId="9" xfId="2" applyFont="1" applyFill="1" applyBorder="1" applyAlignment="1">
      <alignment wrapText="1"/>
    </xf>
    <xf numFmtId="0" fontId="11" fillId="19" borderId="21" xfId="2" applyFont="1" applyFill="1" applyBorder="1" applyAlignment="1">
      <alignment wrapText="1"/>
    </xf>
    <xf numFmtId="3" fontId="11" fillId="46" borderId="17" xfId="2" applyNumberFormat="1" applyFont="1" applyFill="1" applyBorder="1" applyAlignment="1">
      <alignment wrapText="1"/>
    </xf>
    <xf numFmtId="3" fontId="11" fillId="22" borderId="18" xfId="2" applyNumberFormat="1" applyFont="1" applyFill="1" applyBorder="1" applyAlignment="1">
      <alignment wrapText="1"/>
    </xf>
    <xf numFmtId="165" fontId="11" fillId="5" borderId="9" xfId="2" applyNumberFormat="1" applyFont="1" applyFill="1" applyBorder="1" applyAlignment="1">
      <alignment wrapText="1"/>
    </xf>
    <xf numFmtId="3" fontId="11" fillId="40" borderId="18" xfId="2" applyNumberFormat="1" applyFont="1" applyFill="1" applyBorder="1" applyAlignment="1">
      <alignment horizontal="center" wrapText="1"/>
    </xf>
    <xf numFmtId="3" fontId="11" fillId="21" borderId="9" xfId="2" applyNumberFormat="1" applyFont="1" applyFill="1" applyBorder="1" applyAlignment="1">
      <alignment wrapText="1"/>
    </xf>
    <xf numFmtId="3" fontId="11" fillId="43" borderId="23" xfId="2" applyNumberFormat="1" applyFont="1" applyFill="1" applyBorder="1" applyAlignment="1">
      <alignment wrapText="1"/>
    </xf>
    <xf numFmtId="3" fontId="11" fillId="22" borderId="18" xfId="2" applyNumberFormat="1" applyFont="1" applyFill="1" applyBorder="1" applyAlignment="1">
      <alignment horizontal="center" wrapText="1"/>
    </xf>
    <xf numFmtId="3" fontId="11" fillId="36" borderId="9" xfId="2" applyNumberFormat="1" applyFont="1" applyFill="1" applyBorder="1" applyAlignment="1">
      <alignment wrapText="1"/>
    </xf>
    <xf numFmtId="3" fontId="11" fillId="2" borderId="21" xfId="2" applyNumberFormat="1" applyFont="1" applyFill="1" applyBorder="1" applyAlignment="1">
      <alignment wrapText="1"/>
    </xf>
    <xf numFmtId="165" fontId="14" fillId="40" borderId="18" xfId="2" applyNumberFormat="1" applyFont="1" applyFill="1" applyBorder="1" applyAlignment="1">
      <alignment horizontal="center" wrapText="1"/>
    </xf>
    <xf numFmtId="3" fontId="11" fillId="37" borderId="9" xfId="2" applyNumberFormat="1" applyFont="1" applyFill="1" applyBorder="1" applyAlignment="1">
      <alignment wrapText="1"/>
    </xf>
    <xf numFmtId="165" fontId="14" fillId="20" borderId="21" xfId="2" applyNumberFormat="1" applyFont="1" applyFill="1" applyBorder="1" applyAlignment="1">
      <alignment horizontal="left" wrapText="1"/>
    </xf>
    <xf numFmtId="3" fontId="11" fillId="40" borderId="15" xfId="2" applyNumberFormat="1" applyFont="1" applyFill="1" applyBorder="1" applyAlignment="1">
      <alignment horizontal="center" wrapText="1"/>
    </xf>
    <xf numFmtId="3" fontId="11" fillId="20" borderId="21" xfId="2" applyNumberFormat="1" applyFont="1" applyFill="1" applyBorder="1" applyAlignment="1">
      <alignment wrapText="1"/>
    </xf>
    <xf numFmtId="0" fontId="47" fillId="26" borderId="17" xfId="0" applyFont="1" applyFill="1" applyBorder="1" applyAlignment="1">
      <alignment horizontal="left" wrapText="1"/>
    </xf>
    <xf numFmtId="4" fontId="7" fillId="22" borderId="23" xfId="2" applyNumberFormat="1" applyFont="1" applyFill="1" applyBorder="1" applyAlignment="1"/>
    <xf numFmtId="0" fontId="7" fillId="22" borderId="9" xfId="2" applyFont="1" applyFill="1" applyBorder="1" applyAlignment="1">
      <alignment wrapText="1"/>
    </xf>
    <xf numFmtId="0" fontId="47" fillId="19" borderId="18" xfId="0" applyFont="1" applyFill="1" applyBorder="1" applyAlignment="1">
      <alignment horizontal="left" wrapText="1"/>
    </xf>
    <xf numFmtId="3" fontId="14" fillId="21" borderId="18" xfId="0" applyNumberFormat="1" applyFont="1" applyFill="1" applyBorder="1" applyAlignment="1">
      <alignment horizontal="right"/>
    </xf>
    <xf numFmtId="165" fontId="14" fillId="19" borderId="18" xfId="2" applyNumberFormat="1" applyFont="1" applyFill="1" applyBorder="1" applyAlignment="1">
      <alignment horizontal="center" wrapText="1"/>
    </xf>
    <xf numFmtId="165" fontId="14" fillId="18" borderId="23" xfId="2" applyNumberFormat="1" applyFont="1" applyFill="1" applyBorder="1" applyAlignment="1">
      <alignment horizontal="left" wrapText="1"/>
    </xf>
    <xf numFmtId="3" fontId="11" fillId="40" borderId="14" xfId="2" applyNumberFormat="1" applyFont="1" applyFill="1" applyBorder="1" applyAlignment="1">
      <alignment horizontal="center" wrapText="1"/>
    </xf>
    <xf numFmtId="3" fontId="11" fillId="38" borderId="9" xfId="2" applyNumberFormat="1" applyFont="1" applyFill="1" applyBorder="1" applyAlignment="1">
      <alignment wrapText="1"/>
    </xf>
    <xf numFmtId="3" fontId="11" fillId="20" borderId="24" xfId="2" applyNumberFormat="1" applyFont="1" applyFill="1" applyBorder="1" applyAlignment="1">
      <alignment wrapText="1"/>
    </xf>
    <xf numFmtId="2" fontId="11" fillId="22" borderId="18" xfId="2" applyNumberFormat="1" applyFont="1" applyFill="1" applyBorder="1" applyAlignment="1">
      <alignment horizontal="center" wrapText="1"/>
    </xf>
    <xf numFmtId="3" fontId="11" fillId="4" borderId="9" xfId="2" applyNumberFormat="1" applyFont="1" applyFill="1" applyBorder="1" applyAlignment="1">
      <alignment horizontal="right" wrapText="1"/>
    </xf>
    <xf numFmtId="3" fontId="11" fillId="21" borderId="18" xfId="2" applyNumberFormat="1" applyFont="1" applyFill="1" applyBorder="1" applyAlignment="1">
      <alignment horizontal="right" wrapText="1"/>
    </xf>
    <xf numFmtId="165" fontId="11" fillId="18" borderId="21" xfId="2" applyNumberFormat="1" applyFont="1" applyFill="1" applyBorder="1" applyAlignment="1">
      <alignment wrapText="1"/>
    </xf>
    <xf numFmtId="2" fontId="11" fillId="24" borderId="15" xfId="2" applyNumberFormat="1" applyFont="1" applyFill="1" applyBorder="1" applyAlignment="1">
      <alignment horizontal="center" wrapText="1"/>
    </xf>
    <xf numFmtId="0" fontId="11" fillId="4" borderId="9" xfId="2" applyFont="1" applyFill="1" applyBorder="1" applyAlignment="1">
      <alignment horizontal="right" wrapText="1"/>
    </xf>
    <xf numFmtId="0" fontId="11" fillId="21" borderId="18" xfId="2" applyFont="1" applyFill="1" applyBorder="1" applyAlignment="1">
      <alignment horizontal="right" wrapText="1"/>
    </xf>
    <xf numFmtId="3" fontId="11" fillId="40" borderId="23" xfId="2" applyNumberFormat="1" applyFont="1" applyFill="1" applyBorder="1" applyAlignment="1">
      <alignment wrapText="1"/>
    </xf>
    <xf numFmtId="1" fontId="11" fillId="40" borderId="0" xfId="2" applyNumberFormat="1" applyFont="1" applyFill="1" applyBorder="1" applyAlignment="1">
      <alignment horizontal="center" wrapText="1"/>
    </xf>
    <xf numFmtId="165" fontId="14" fillId="24" borderId="9" xfId="2" applyNumberFormat="1" applyFont="1" applyFill="1" applyBorder="1" applyAlignment="1">
      <alignment horizontal="left"/>
    </xf>
    <xf numFmtId="0" fontId="14" fillId="22" borderId="18" xfId="2" applyFont="1" applyFill="1" applyBorder="1" applyAlignment="1">
      <alignment horizontal="center" wrapText="1"/>
    </xf>
    <xf numFmtId="0" fontId="14" fillId="18" borderId="21" xfId="2" applyFont="1" applyFill="1" applyBorder="1" applyAlignment="1">
      <alignment horizontal="left" wrapText="1"/>
    </xf>
    <xf numFmtId="0" fontId="14" fillId="40" borderId="18" xfId="2" applyFont="1" applyFill="1" applyBorder="1" applyAlignment="1">
      <alignment horizontal="center" wrapText="1"/>
    </xf>
    <xf numFmtId="0" fontId="14" fillId="24" borderId="9" xfId="2" applyFont="1" applyFill="1" applyBorder="1" applyAlignment="1">
      <alignment horizontal="left" wrapText="1"/>
    </xf>
    <xf numFmtId="0" fontId="14" fillId="19" borderId="21" xfId="2" applyFont="1" applyFill="1" applyBorder="1" applyAlignment="1">
      <alignment horizontal="left" wrapText="1"/>
    </xf>
    <xf numFmtId="0" fontId="11" fillId="40" borderId="15" xfId="2" applyFont="1" applyFill="1" applyBorder="1" applyAlignment="1">
      <alignment horizontal="center" wrapText="1"/>
    </xf>
    <xf numFmtId="0" fontId="11" fillId="35" borderId="9" xfId="2" applyFont="1" applyFill="1" applyBorder="1" applyAlignment="1">
      <alignment wrapText="1"/>
    </xf>
    <xf numFmtId="0" fontId="11" fillId="42" borderId="18" xfId="2" applyFont="1" applyFill="1" applyBorder="1" applyAlignment="1">
      <alignment wrapText="1"/>
    </xf>
    <xf numFmtId="0" fontId="11" fillId="2" borderId="19" xfId="0" applyFont="1" applyFill="1" applyBorder="1" applyAlignment="1">
      <alignment wrapText="1"/>
    </xf>
    <xf numFmtId="0" fontId="67" fillId="2" borderId="22" xfId="0" applyFont="1" applyFill="1" applyBorder="1"/>
    <xf numFmtId="0" fontId="11" fillId="18" borderId="19" xfId="0" applyFont="1" applyFill="1" applyBorder="1" applyAlignment="1">
      <alignment wrapText="1"/>
    </xf>
    <xf numFmtId="0" fontId="13" fillId="2" borderId="19" xfId="0" applyFont="1" applyFill="1" applyBorder="1" applyAlignment="1">
      <alignment wrapText="1"/>
    </xf>
    <xf numFmtId="0" fontId="13" fillId="26" borderId="17" xfId="0" applyFont="1" applyFill="1" applyBorder="1" applyAlignment="1">
      <alignment wrapText="1"/>
    </xf>
    <xf numFmtId="0" fontId="17" fillId="21" borderId="9" xfId="0" applyFont="1" applyFill="1" applyBorder="1" applyAlignment="1">
      <alignment horizontal="left" wrapText="1"/>
    </xf>
    <xf numFmtId="0" fontId="11" fillId="22" borderId="9" xfId="2" applyFont="1" applyFill="1" applyBorder="1" applyAlignment="1"/>
    <xf numFmtId="0" fontId="11" fillId="35" borderId="9" xfId="2" applyFont="1" applyFill="1" applyBorder="1" applyAlignment="1"/>
    <xf numFmtId="0" fontId="11" fillId="35" borderId="9" xfId="2" applyFont="1" applyFill="1" applyBorder="1" applyAlignment="1">
      <alignment horizontal="center"/>
    </xf>
    <xf numFmtId="0" fontId="11" fillId="2" borderId="19" xfId="0" applyFont="1" applyFill="1" applyBorder="1" applyAlignment="1">
      <alignment horizontal="center" wrapText="1"/>
    </xf>
    <xf numFmtId="0" fontId="10" fillId="2" borderId="17" xfId="0" applyFont="1" applyFill="1" applyBorder="1" applyAlignment="1"/>
    <xf numFmtId="0" fontId="67" fillId="2" borderId="12" xfId="0" applyFont="1" applyFill="1" applyBorder="1" applyAlignment="1"/>
    <xf numFmtId="0" fontId="14" fillId="21" borderId="9" xfId="0" applyFont="1" applyFill="1" applyBorder="1" applyAlignment="1">
      <alignment wrapText="1"/>
    </xf>
    <xf numFmtId="4" fontId="11" fillId="35" borderId="9" xfId="2" applyNumberFormat="1" applyFont="1" applyFill="1" applyBorder="1" applyAlignment="1"/>
    <xf numFmtId="0" fontId="11" fillId="35" borderId="9" xfId="2" applyFont="1" applyFill="1" applyBorder="1"/>
    <xf numFmtId="3" fontId="11" fillId="92" borderId="22" xfId="0" applyNumberFormat="1" applyFont="1" applyFill="1" applyBorder="1" applyAlignment="1">
      <alignment wrapText="1"/>
    </xf>
    <xf numFmtId="3" fontId="11" fillId="19" borderId="17" xfId="0" applyNumberFormat="1" applyFont="1" applyFill="1" applyBorder="1" applyAlignment="1">
      <alignment wrapText="1"/>
    </xf>
    <xf numFmtId="3" fontId="14" fillId="21" borderId="9" xfId="0" applyNumberFormat="1" applyFont="1" applyFill="1" applyBorder="1"/>
    <xf numFmtId="0" fontId="11" fillId="19" borderId="17" xfId="0" applyFont="1" applyFill="1" applyBorder="1" applyAlignment="1">
      <alignment wrapText="1"/>
    </xf>
    <xf numFmtId="3" fontId="11" fillId="4" borderId="9" xfId="0" applyNumberFormat="1" applyFont="1" applyFill="1" applyBorder="1" applyAlignment="1">
      <alignment wrapText="1"/>
    </xf>
    <xf numFmtId="4" fontId="11" fillId="35" borderId="9" xfId="2" applyNumberFormat="1" applyFont="1" applyFill="1" applyBorder="1" applyAlignment="1">
      <alignment wrapText="1"/>
    </xf>
    <xf numFmtId="3" fontId="11" fillId="19" borderId="9" xfId="0" applyNumberFormat="1" applyFont="1" applyFill="1" applyBorder="1" applyAlignment="1">
      <alignment wrapText="1"/>
    </xf>
    <xf numFmtId="0" fontId="11" fillId="2" borderId="26" xfId="0" applyFont="1" applyFill="1" applyBorder="1" applyAlignment="1">
      <alignment wrapText="1"/>
    </xf>
    <xf numFmtId="165" fontId="14" fillId="19" borderId="17" xfId="0" applyNumberFormat="1" applyFont="1" applyFill="1" applyBorder="1" applyAlignment="1">
      <alignment horizontal="left" wrapText="1"/>
    </xf>
    <xf numFmtId="165" fontId="14" fillId="18" borderId="9" xfId="2" applyNumberFormat="1" applyFont="1" applyFill="1" applyBorder="1" applyAlignment="1">
      <alignment horizontal="left" wrapText="1"/>
    </xf>
    <xf numFmtId="165" fontId="14" fillId="38" borderId="9" xfId="0" applyNumberFormat="1" applyFont="1" applyFill="1" applyBorder="1" applyAlignment="1">
      <alignment horizontal="left" wrapText="1"/>
    </xf>
    <xf numFmtId="3" fontId="14" fillId="2" borderId="19" xfId="0" applyNumberFormat="1" applyFont="1" applyFill="1" applyBorder="1" applyAlignment="1">
      <alignment horizontal="right"/>
    </xf>
    <xf numFmtId="3" fontId="11" fillId="2" borderId="19" xfId="0" applyNumberFormat="1" applyFont="1" applyFill="1" applyBorder="1" applyAlignment="1">
      <alignment wrapText="1"/>
    </xf>
    <xf numFmtId="0" fontId="7" fillId="2" borderId="19" xfId="0" applyFont="1" applyFill="1" applyBorder="1" applyAlignment="1">
      <alignment wrapText="1"/>
    </xf>
    <xf numFmtId="0" fontId="10" fillId="2" borderId="14" xfId="0" applyFont="1" applyFill="1" applyBorder="1" applyAlignment="1"/>
    <xf numFmtId="3" fontId="11" fillId="38" borderId="9" xfId="0" applyNumberFormat="1" applyFont="1" applyFill="1" applyBorder="1" applyAlignment="1">
      <alignment horizontal="right" wrapText="1"/>
    </xf>
    <xf numFmtId="165" fontId="11" fillId="19" borderId="17" xfId="0" applyNumberFormat="1" applyFont="1" applyFill="1" applyBorder="1" applyAlignment="1">
      <alignment wrapText="1"/>
    </xf>
    <xf numFmtId="3" fontId="11" fillId="4" borderId="9" xfId="0" applyNumberFormat="1" applyFont="1" applyFill="1" applyBorder="1" applyAlignment="1">
      <alignment horizontal="right" wrapText="1"/>
    </xf>
    <xf numFmtId="0" fontId="11" fillId="4" borderId="9" xfId="0" applyFont="1" applyFill="1" applyBorder="1" applyAlignment="1">
      <alignment horizontal="right" wrapText="1"/>
    </xf>
    <xf numFmtId="165" fontId="14" fillId="21" borderId="9" xfId="0" applyNumberFormat="1" applyFont="1" applyFill="1" applyBorder="1"/>
    <xf numFmtId="0" fontId="14" fillId="21" borderId="9" xfId="0" applyFont="1" applyFill="1" applyBorder="1" applyAlignment="1">
      <alignment vertical="top" wrapText="1"/>
    </xf>
    <xf numFmtId="0" fontId="11" fillId="40" borderId="23" xfId="0" applyFont="1" applyFill="1" applyBorder="1" applyAlignment="1">
      <alignment wrapText="1"/>
    </xf>
    <xf numFmtId="0" fontId="13" fillId="35" borderId="9" xfId="0" applyFont="1" applyFill="1" applyBorder="1" applyAlignment="1">
      <alignment wrapText="1"/>
    </xf>
    <xf numFmtId="0" fontId="13" fillId="27" borderId="14" xfId="3" applyFont="1" applyFill="1" applyBorder="1" applyAlignment="1">
      <alignment horizontal="left" wrapText="1"/>
    </xf>
    <xf numFmtId="0" fontId="11" fillId="0" borderId="9" xfId="0" applyFont="1" applyBorder="1" applyAlignment="1">
      <alignment wrapText="1"/>
    </xf>
    <xf numFmtId="0" fontId="11" fillId="27" borderId="18" xfId="3" applyFont="1" applyFill="1" applyBorder="1" applyAlignment="1">
      <alignment horizontal="left" wrapText="1"/>
    </xf>
    <xf numFmtId="0" fontId="11" fillId="0" borderId="9" xfId="0" applyFont="1" applyBorder="1" applyAlignment="1">
      <alignment horizontal="right" wrapText="1"/>
    </xf>
    <xf numFmtId="0" fontId="11" fillId="28" borderId="18" xfId="3" applyFont="1" applyFill="1" applyBorder="1" applyAlignment="1">
      <alignment horizontal="left" wrapText="1"/>
    </xf>
    <xf numFmtId="3" fontId="11" fillId="28" borderId="19" xfId="3" applyNumberFormat="1" applyFont="1" applyFill="1" applyBorder="1" applyAlignment="1">
      <alignment horizontal="center" wrapText="1"/>
    </xf>
    <xf numFmtId="0" fontId="11" fillId="29" borderId="18" xfId="3" applyFont="1" applyFill="1" applyBorder="1" applyAlignment="1">
      <alignment horizontal="left" wrapText="1"/>
    </xf>
    <xf numFmtId="166" fontId="11" fillId="0" borderId="9" xfId="0" applyNumberFormat="1" applyFont="1" applyBorder="1" applyAlignment="1">
      <alignment horizontal="left" wrapText="1"/>
    </xf>
    <xf numFmtId="0" fontId="7" fillId="29" borderId="18" xfId="3" applyFont="1" applyFill="1" applyBorder="1" applyAlignment="1">
      <alignment horizontal="center" wrapText="1"/>
    </xf>
    <xf numFmtId="0" fontId="14" fillId="22" borderId="17" xfId="0" applyFont="1" applyFill="1" applyBorder="1" applyAlignment="1">
      <alignment wrapText="1"/>
    </xf>
    <xf numFmtId="0" fontId="11" fillId="23" borderId="18" xfId="3" applyFont="1" applyFill="1" applyBorder="1" applyAlignment="1">
      <alignment wrapText="1"/>
    </xf>
    <xf numFmtId="3" fontId="11" fillId="35" borderId="9" xfId="0" applyNumberFormat="1" applyFont="1" applyFill="1" applyBorder="1" applyAlignment="1">
      <alignment wrapText="1"/>
    </xf>
    <xf numFmtId="3" fontId="11" fillId="0" borderId="9" xfId="0" applyNumberFormat="1" applyFont="1" applyBorder="1" applyAlignment="1">
      <alignment wrapText="1"/>
    </xf>
    <xf numFmtId="0" fontId="7" fillId="30" borderId="18" xfId="3" applyFont="1" applyFill="1" applyBorder="1" applyAlignment="1">
      <alignment horizontal="center" wrapText="1"/>
    </xf>
    <xf numFmtId="1" fontId="11" fillId="31" borderId="18" xfId="3" applyNumberFormat="1" applyFont="1" applyFill="1" applyBorder="1" applyAlignment="1">
      <alignment horizontal="right" wrapText="1"/>
    </xf>
    <xf numFmtId="0" fontId="7" fillId="26" borderId="15" xfId="0" applyFont="1" applyFill="1" applyBorder="1" applyAlignment="1">
      <alignment wrapText="1"/>
    </xf>
    <xf numFmtId="0" fontId="7" fillId="18" borderId="15" xfId="0" applyFont="1" applyFill="1" applyBorder="1" applyAlignment="1">
      <alignment wrapText="1"/>
    </xf>
    <xf numFmtId="0" fontId="11" fillId="31" borderId="18" xfId="3" applyFont="1" applyFill="1" applyBorder="1" applyAlignment="1">
      <alignment horizontal="right" wrapText="1"/>
    </xf>
    <xf numFmtId="3" fontId="11" fillId="25" borderId="16" xfId="3" applyNumberFormat="1" applyFont="1" applyFill="1" applyBorder="1" applyAlignment="1">
      <alignment wrapText="1"/>
    </xf>
    <xf numFmtId="1" fontId="11" fillId="31" borderId="12" xfId="3" applyNumberFormat="1" applyFont="1" applyFill="1" applyBorder="1" applyAlignment="1">
      <alignment horizontal="right" wrapText="1"/>
    </xf>
    <xf numFmtId="0" fontId="11" fillId="22" borderId="17" xfId="3" applyFont="1" applyFill="1" applyBorder="1" applyAlignment="1">
      <alignment horizontal="right" wrapText="1"/>
    </xf>
    <xf numFmtId="164" fontId="11" fillId="31" borderId="14" xfId="3" applyNumberFormat="1" applyFont="1" applyFill="1" applyBorder="1" applyAlignment="1">
      <alignment horizontal="right" wrapText="1"/>
    </xf>
    <xf numFmtId="1" fontId="7" fillId="32" borderId="0" xfId="3" applyNumberFormat="1" applyFont="1" applyFill="1" applyBorder="1" applyAlignment="1">
      <alignment horizontal="center" wrapText="1"/>
    </xf>
    <xf numFmtId="0" fontId="14" fillId="22" borderId="17" xfId="3" applyFont="1" applyFill="1" applyBorder="1" applyAlignment="1">
      <alignment horizontal="left" wrapText="1"/>
    </xf>
    <xf numFmtId="0" fontId="14" fillId="25" borderId="17" xfId="3" applyFont="1" applyFill="1" applyBorder="1" applyAlignment="1">
      <alignment horizontal="left" wrapText="1"/>
    </xf>
    <xf numFmtId="0" fontId="7" fillId="33" borderId="17" xfId="3" applyFont="1" applyFill="1" applyBorder="1" applyAlignment="1">
      <alignment horizontal="center" wrapText="1"/>
    </xf>
    <xf numFmtId="0" fontId="14" fillId="22" borderId="18" xfId="0" applyFont="1" applyFill="1" applyBorder="1" applyAlignment="1">
      <alignment vertical="top" wrapText="1"/>
    </xf>
    <xf numFmtId="0" fontId="11" fillId="22" borderId="17" xfId="3" applyFont="1" applyFill="1" applyBorder="1" applyAlignment="1">
      <alignment wrapText="1"/>
    </xf>
    <xf numFmtId="0" fontId="11" fillId="34" borderId="10" xfId="3" applyFont="1" applyFill="1" applyBorder="1" applyAlignment="1">
      <alignment horizontal="left" wrapText="1"/>
    </xf>
    <xf numFmtId="0" fontId="33" fillId="35" borderId="23" xfId="0" applyFont="1" applyFill="1" applyBorder="1" applyAlignment="1">
      <alignment wrapText="1"/>
    </xf>
    <xf numFmtId="0" fontId="33" fillId="22" borderId="17" xfId="0" applyFont="1" applyFill="1" applyBorder="1" applyAlignment="1">
      <alignment wrapText="1"/>
    </xf>
    <xf numFmtId="0" fontId="11" fillId="61" borderId="30" xfId="0" applyFont="1" applyFill="1" applyBorder="1" applyAlignment="1">
      <alignment wrapText="1"/>
    </xf>
    <xf numFmtId="0" fontId="33" fillId="0" borderId="23" xfId="0" applyFont="1" applyBorder="1" applyAlignment="1">
      <alignment wrapText="1"/>
    </xf>
    <xf numFmtId="0" fontId="11" fillId="61" borderId="30" xfId="0" applyFont="1" applyFill="1" applyBorder="1" applyAlignment="1">
      <alignment horizontal="left" wrapText="1"/>
    </xf>
    <xf numFmtId="0" fontId="34" fillId="26" borderId="9" xfId="0" applyFont="1" applyFill="1" applyBorder="1" applyAlignment="1">
      <alignment wrapText="1"/>
    </xf>
    <xf numFmtId="0" fontId="35" fillId="22" borderId="17" xfId="0" applyFont="1" applyFill="1" applyBorder="1" applyAlignment="1">
      <alignment wrapText="1"/>
    </xf>
    <xf numFmtId="0" fontId="7" fillId="61" borderId="30" xfId="0" applyFont="1" applyFill="1" applyBorder="1" applyAlignment="1">
      <alignment wrapText="1"/>
    </xf>
    <xf numFmtId="0" fontId="35" fillId="58" borderId="18" xfId="0" applyFont="1" applyFill="1" applyBorder="1" applyAlignment="1">
      <alignment wrapText="1"/>
    </xf>
    <xf numFmtId="0" fontId="35" fillId="22" borderId="23" xfId="0" applyFont="1" applyFill="1" applyBorder="1" applyAlignment="1">
      <alignment wrapText="1"/>
    </xf>
    <xf numFmtId="0" fontId="35" fillId="26" borderId="9" xfId="0" applyFont="1" applyFill="1" applyBorder="1" applyAlignment="1">
      <alignment wrapText="1"/>
    </xf>
    <xf numFmtId="0" fontId="7" fillId="61" borderId="30" xfId="0" applyFont="1" applyFill="1" applyBorder="1" applyAlignment="1">
      <alignment horizontal="left" wrapText="1"/>
    </xf>
    <xf numFmtId="0" fontId="36" fillId="22" borderId="23" xfId="0" applyFont="1" applyFill="1" applyBorder="1" applyAlignment="1">
      <alignment wrapText="1"/>
    </xf>
    <xf numFmtId="0" fontId="33" fillId="0" borderId="23" xfId="0" applyFont="1" applyBorder="1"/>
    <xf numFmtId="0" fontId="33" fillId="35" borderId="23" xfId="0" applyFont="1" applyFill="1" applyBorder="1" applyAlignment="1"/>
    <xf numFmtId="0" fontId="11" fillId="61" borderId="30" xfId="0" applyFont="1" applyFill="1" applyBorder="1" applyAlignment="1">
      <alignment horizontal="center" wrapText="1"/>
    </xf>
    <xf numFmtId="0" fontId="33" fillId="22" borderId="17" xfId="0" applyFont="1" applyFill="1" applyBorder="1" applyAlignment="1">
      <alignment horizontal="center" wrapText="1"/>
    </xf>
    <xf numFmtId="0" fontId="33" fillId="22" borderId="18" xfId="0" applyFont="1" applyFill="1" applyBorder="1" applyAlignment="1">
      <alignment horizontal="center" wrapText="1"/>
    </xf>
    <xf numFmtId="0" fontId="10" fillId="35" borderId="23" xfId="0" applyFont="1" applyFill="1" applyBorder="1" applyAlignment="1">
      <alignment horizontal="center" wrapText="1"/>
    </xf>
    <xf numFmtId="0" fontId="33" fillId="26" borderId="9" xfId="0" applyFont="1" applyFill="1" applyBorder="1" applyAlignment="1">
      <alignment horizontal="center" wrapText="1"/>
    </xf>
    <xf numFmtId="17" fontId="11" fillId="62" borderId="30" xfId="0" applyNumberFormat="1" applyFont="1" applyFill="1" applyBorder="1" applyAlignment="1">
      <alignment horizontal="right" wrapText="1"/>
    </xf>
    <xf numFmtId="0" fontId="33" fillId="35" borderId="23" xfId="0" applyFont="1" applyFill="1" applyBorder="1"/>
    <xf numFmtId="0" fontId="33" fillId="22" borderId="23" xfId="0" applyFont="1" applyFill="1" applyBorder="1"/>
    <xf numFmtId="0" fontId="21" fillId="60" borderId="23" xfId="0" applyFont="1" applyFill="1" applyBorder="1" applyAlignment="1"/>
    <xf numFmtId="0" fontId="33" fillId="4" borderId="23" xfId="0" applyFont="1" applyFill="1" applyBorder="1" applyAlignment="1">
      <alignment wrapText="1"/>
    </xf>
    <xf numFmtId="0" fontId="33" fillId="40" borderId="17" xfId="0" applyFont="1" applyFill="1" applyBorder="1" applyAlignment="1">
      <alignment wrapText="1"/>
    </xf>
    <xf numFmtId="166" fontId="33" fillId="19" borderId="21" xfId="0" applyNumberFormat="1" applyFont="1" applyFill="1" applyBorder="1" applyAlignment="1">
      <alignment wrapText="1"/>
    </xf>
    <xf numFmtId="166" fontId="33" fillId="19" borderId="9" xfId="0" applyNumberFormat="1" applyFont="1" applyFill="1" applyBorder="1" applyAlignment="1">
      <alignment wrapText="1"/>
    </xf>
    <xf numFmtId="165" fontId="14" fillId="61" borderId="30" xfId="0" applyNumberFormat="1" applyFont="1" applyFill="1" applyBorder="1" applyAlignment="1">
      <alignment horizontal="left" wrapText="1"/>
    </xf>
    <xf numFmtId="2" fontId="33" fillId="22" borderId="18" xfId="0" applyNumberFormat="1" applyFont="1" applyFill="1" applyBorder="1" applyAlignment="1">
      <alignment horizontal="right" wrapText="1"/>
    </xf>
    <xf numFmtId="2" fontId="33" fillId="19" borderId="21" xfId="0" applyNumberFormat="1" applyFont="1" applyFill="1" applyBorder="1" applyAlignment="1">
      <alignment horizontal="right" wrapText="1"/>
    </xf>
    <xf numFmtId="2" fontId="33" fillId="26" borderId="9" xfId="0" applyNumberFormat="1" applyFont="1" applyFill="1" applyBorder="1" applyAlignment="1">
      <alignment horizontal="right" wrapText="1"/>
    </xf>
    <xf numFmtId="3" fontId="11" fillId="61" borderId="30" xfId="0" applyNumberFormat="1" applyFont="1" applyFill="1" applyBorder="1" applyAlignment="1">
      <alignment wrapText="1"/>
    </xf>
    <xf numFmtId="3" fontId="33" fillId="40" borderId="17" xfId="0" applyNumberFormat="1" applyFont="1" applyFill="1" applyBorder="1" applyAlignment="1">
      <alignment wrapText="1"/>
    </xf>
    <xf numFmtId="4" fontId="33" fillId="35" borderId="23" xfId="0" applyNumberFormat="1" applyFont="1" applyFill="1" applyBorder="1" applyAlignment="1"/>
    <xf numFmtId="3" fontId="10" fillId="43" borderId="17" xfId="0" applyNumberFormat="1" applyFont="1" applyFill="1" applyBorder="1" applyAlignment="1">
      <alignment wrapText="1"/>
    </xf>
    <xf numFmtId="3" fontId="11" fillId="63" borderId="30" xfId="0" applyNumberFormat="1" applyFont="1" applyFill="1" applyBorder="1" applyAlignment="1">
      <alignment wrapText="1"/>
    </xf>
    <xf numFmtId="165" fontId="10" fillId="59" borderId="18" xfId="0" applyNumberFormat="1" applyFont="1" applyFill="1" applyBorder="1" applyAlignment="1">
      <alignment horizontal="left" wrapText="1"/>
    </xf>
    <xf numFmtId="165" fontId="10" fillId="59" borderId="23" xfId="0" applyNumberFormat="1" applyFont="1" applyFill="1" applyBorder="1" applyAlignment="1">
      <alignment horizontal="left" wrapText="1"/>
    </xf>
    <xf numFmtId="165" fontId="10" fillId="26" borderId="9" xfId="0" applyNumberFormat="1" applyFont="1" applyFill="1" applyBorder="1" applyAlignment="1">
      <alignment horizontal="left" wrapText="1"/>
    </xf>
    <xf numFmtId="3" fontId="11" fillId="62" borderId="30" xfId="0" applyNumberFormat="1" applyFont="1" applyFill="1" applyBorder="1" applyAlignment="1">
      <alignment wrapText="1"/>
    </xf>
    <xf numFmtId="3" fontId="33" fillId="22" borderId="18" xfId="0" applyNumberFormat="1" applyFont="1" applyFill="1" applyBorder="1" applyAlignment="1">
      <alignment wrapText="1"/>
    </xf>
    <xf numFmtId="3" fontId="33" fillId="20" borderId="21" xfId="0" applyNumberFormat="1" applyFont="1" applyFill="1" applyBorder="1" applyAlignment="1">
      <alignment horizontal="right" wrapText="1"/>
    </xf>
    <xf numFmtId="3" fontId="33" fillId="40" borderId="23" xfId="0" applyNumberFormat="1" applyFont="1" applyFill="1" applyBorder="1" applyAlignment="1"/>
    <xf numFmtId="165" fontId="33" fillId="26" borderId="9" xfId="0" applyNumberFormat="1" applyFont="1" applyFill="1" applyBorder="1" applyAlignment="1">
      <alignment horizontal="right" wrapText="1"/>
    </xf>
    <xf numFmtId="0" fontId="34" fillId="19" borderId="17" xfId="0" applyFont="1" applyFill="1" applyBorder="1" applyAlignment="1">
      <alignment wrapText="1"/>
    </xf>
    <xf numFmtId="3" fontId="33" fillId="26" borderId="9" xfId="0" applyNumberFormat="1" applyFont="1" applyFill="1" applyBorder="1" applyAlignment="1">
      <alignment wrapText="1"/>
    </xf>
    <xf numFmtId="2" fontId="33" fillId="26" borderId="21" xfId="0" applyNumberFormat="1" applyFont="1" applyFill="1" applyBorder="1" applyAlignment="1">
      <alignment horizontal="right" wrapText="1"/>
    </xf>
    <xf numFmtId="0" fontId="33" fillId="22" borderId="17" xfId="0" applyFont="1" applyFill="1" applyBorder="1" applyAlignment="1">
      <alignment horizontal="right" wrapText="1"/>
    </xf>
    <xf numFmtId="0" fontId="33" fillId="22" borderId="18" xfId="0" applyFont="1" applyFill="1" applyBorder="1" applyAlignment="1">
      <alignment horizontal="right" wrapText="1"/>
    </xf>
    <xf numFmtId="3" fontId="33" fillId="26" borderId="21" xfId="0" applyNumberFormat="1" applyFont="1" applyFill="1" applyBorder="1" applyAlignment="1">
      <alignment horizontal="right" wrapText="1"/>
    </xf>
    <xf numFmtId="1" fontId="33" fillId="26" borderId="9" xfId="0" applyNumberFormat="1" applyFont="1" applyFill="1" applyBorder="1" applyAlignment="1">
      <alignment horizontal="right" wrapText="1"/>
    </xf>
    <xf numFmtId="0" fontId="33" fillId="22" borderId="15" xfId="0" applyFont="1" applyFill="1" applyBorder="1" applyAlignment="1">
      <alignment wrapText="1"/>
    </xf>
    <xf numFmtId="0" fontId="33" fillId="22" borderId="20" xfId="0" applyFont="1" applyFill="1" applyBorder="1" applyAlignment="1">
      <alignment wrapText="1"/>
    </xf>
    <xf numFmtId="3" fontId="11" fillId="61" borderId="31" xfId="0" applyNumberFormat="1" applyFont="1" applyFill="1" applyBorder="1" applyAlignment="1">
      <alignment wrapText="1"/>
    </xf>
    <xf numFmtId="17" fontId="33" fillId="18" borderId="22" xfId="0" applyNumberFormat="1" applyFont="1" applyFill="1" applyBorder="1" applyAlignment="1">
      <alignment wrapText="1"/>
    </xf>
    <xf numFmtId="4" fontId="34" fillId="18" borderId="22" xfId="0" applyNumberFormat="1" applyFont="1" applyFill="1" applyBorder="1" applyAlignment="1">
      <alignment wrapText="1"/>
    </xf>
    <xf numFmtId="0" fontId="0" fillId="0" borderId="17" xfId="0" applyBorder="1"/>
    <xf numFmtId="3" fontId="11" fillId="63" borderId="21" xfId="0" applyNumberFormat="1" applyFont="1" applyFill="1" applyBorder="1" applyAlignment="1">
      <alignment horizontal="right" wrapText="1"/>
    </xf>
    <xf numFmtId="0" fontId="7" fillId="0" borderId="9" xfId="0" applyFont="1" applyFill="1" applyBorder="1" applyAlignment="1">
      <alignment wrapText="1"/>
    </xf>
    <xf numFmtId="0" fontId="7" fillId="61" borderId="18" xfId="0" applyFont="1" applyFill="1" applyBorder="1" applyAlignment="1"/>
    <xf numFmtId="0" fontId="11" fillId="60" borderId="17" xfId="0" applyFont="1" applyFill="1" applyBorder="1" applyAlignment="1">
      <alignment horizontal="center"/>
    </xf>
    <xf numFmtId="17" fontId="11" fillId="61" borderId="18" xfId="0" applyNumberFormat="1" applyFont="1" applyFill="1" applyBorder="1"/>
    <xf numFmtId="167" fontId="11" fillId="60" borderId="18" xfId="0" applyNumberFormat="1" applyFont="1" applyFill="1" applyBorder="1" applyAlignment="1">
      <alignment horizontal="right" wrapText="1"/>
    </xf>
    <xf numFmtId="169" fontId="11" fillId="60" borderId="21" xfId="0" applyNumberFormat="1" applyFont="1" applyFill="1" applyBorder="1" applyAlignment="1">
      <alignment wrapText="1"/>
    </xf>
    <xf numFmtId="14" fontId="14" fillId="60" borderId="18" xfId="0" applyNumberFormat="1" applyFont="1" applyFill="1" applyBorder="1" applyAlignment="1">
      <alignment horizontal="left" wrapText="1"/>
    </xf>
    <xf numFmtId="171" fontId="11" fillId="60" borderId="9" xfId="0" applyNumberFormat="1" applyFont="1" applyFill="1" applyBorder="1" applyAlignment="1">
      <alignment wrapText="1"/>
    </xf>
    <xf numFmtId="49" fontId="11" fillId="72" borderId="14" xfId="0" applyNumberFormat="1" applyFont="1" applyFill="1" applyBorder="1" applyAlignment="1">
      <alignment horizontal="left" wrapText="1"/>
    </xf>
    <xf numFmtId="49" fontId="11" fillId="61" borderId="18" xfId="0" applyNumberFormat="1" applyFont="1" applyFill="1" applyBorder="1" applyAlignment="1">
      <alignment horizontal="left"/>
    </xf>
    <xf numFmtId="49" fontId="11" fillId="71" borderId="9" xfId="0" applyNumberFormat="1" applyFont="1" applyFill="1" applyBorder="1" applyAlignment="1">
      <alignment horizontal="left"/>
    </xf>
    <xf numFmtId="0" fontId="11" fillId="70" borderId="17" xfId="0" applyFont="1" applyFill="1" applyBorder="1"/>
    <xf numFmtId="3" fontId="11" fillId="63" borderId="18" xfId="0" applyNumberFormat="1" applyFont="1" applyFill="1" applyBorder="1"/>
    <xf numFmtId="3" fontId="14" fillId="62" borderId="9" xfId="0" applyNumberFormat="1" applyFont="1" applyFill="1" applyBorder="1" applyAlignment="1">
      <alignment wrapText="1"/>
    </xf>
    <xf numFmtId="3" fontId="11" fillId="63" borderId="9" xfId="0" applyNumberFormat="1" applyFont="1" applyFill="1" applyBorder="1" applyAlignment="1">
      <alignment horizontal="right" wrapText="1"/>
    </xf>
    <xf numFmtId="3" fontId="11" fillId="63" borderId="18" xfId="0" applyNumberFormat="1" applyFont="1" applyFill="1" applyBorder="1" applyAlignment="1"/>
    <xf numFmtId="4" fontId="7" fillId="60" borderId="21" xfId="0" applyNumberFormat="1" applyFont="1" applyFill="1" applyBorder="1" applyAlignment="1"/>
    <xf numFmtId="3" fontId="7" fillId="60" borderId="17" xfId="0" applyNumberFormat="1" applyFont="1" applyFill="1" applyBorder="1" applyAlignment="1">
      <alignment horizontal="left" wrapText="1"/>
    </xf>
    <xf numFmtId="4" fontId="11" fillId="60" borderId="21" xfId="0" applyNumberFormat="1" applyFont="1" applyFill="1" applyBorder="1"/>
    <xf numFmtId="0" fontId="49" fillId="0" borderId="9" xfId="0" applyFont="1" applyBorder="1" applyAlignment="1">
      <alignment wrapText="1"/>
    </xf>
    <xf numFmtId="3" fontId="11" fillId="70" borderId="18" xfId="0" applyNumberFormat="1" applyFont="1" applyFill="1" applyBorder="1" applyAlignment="1"/>
    <xf numFmtId="0" fontId="11" fillId="70" borderId="21" xfId="0" applyFont="1" applyFill="1" applyBorder="1" applyAlignment="1"/>
    <xf numFmtId="3" fontId="11" fillId="70" borderId="17" xfId="0" applyNumberFormat="1" applyFont="1" applyFill="1" applyBorder="1" applyAlignment="1">
      <alignment horizontal="left" wrapText="1"/>
    </xf>
    <xf numFmtId="3" fontId="11" fillId="70" borderId="18" xfId="0" applyNumberFormat="1" applyFont="1" applyFill="1" applyBorder="1" applyAlignment="1">
      <alignment horizontal="right" wrapText="1"/>
    </xf>
    <xf numFmtId="0" fontId="11" fillId="60" borderId="15" xfId="0" applyFont="1" applyFill="1" applyBorder="1" applyAlignment="1">
      <alignment horizontal="left" wrapText="1"/>
    </xf>
    <xf numFmtId="0" fontId="19" fillId="61" borderId="26" xfId="0" applyFont="1" applyFill="1" applyBorder="1" applyAlignment="1">
      <alignment wrapText="1"/>
    </xf>
    <xf numFmtId="0" fontId="71" fillId="2" borderId="17" xfId="0" applyFont="1" applyFill="1" applyBorder="1" applyAlignment="1">
      <alignment wrapText="1"/>
    </xf>
    <xf numFmtId="0" fontId="13" fillId="60" borderId="15" xfId="0" applyFont="1" applyFill="1" applyBorder="1" applyAlignment="1">
      <alignment wrapText="1"/>
    </xf>
    <xf numFmtId="0" fontId="68" fillId="2" borderId="17" xfId="0" applyFont="1" applyFill="1" applyBorder="1" applyAlignment="1">
      <alignment wrapText="1"/>
    </xf>
    <xf numFmtId="0" fontId="67" fillId="2" borderId="17" xfId="0" applyFont="1" applyFill="1" applyBorder="1" applyAlignment="1">
      <alignment wrapText="1"/>
    </xf>
    <xf numFmtId="0" fontId="67" fillId="2" borderId="21" xfId="0" applyFont="1" applyFill="1" applyBorder="1"/>
    <xf numFmtId="0" fontId="67" fillId="4" borderId="17" xfId="0" applyFont="1" applyFill="1" applyBorder="1" applyAlignment="1">
      <alignment wrapText="1"/>
    </xf>
    <xf numFmtId="3" fontId="11" fillId="4" borderId="9" xfId="0" applyNumberFormat="1" applyFont="1" applyFill="1" applyBorder="1"/>
    <xf numFmtId="0" fontId="11" fillId="62" borderId="9" xfId="0" applyFont="1" applyFill="1" applyBorder="1"/>
    <xf numFmtId="0" fontId="67" fillId="4" borderId="21" xfId="0" applyFont="1" applyFill="1" applyBorder="1" applyAlignment="1">
      <alignment horizontal="center"/>
    </xf>
    <xf numFmtId="0" fontId="67" fillId="0" borderId="21" xfId="0" applyFont="1" applyBorder="1"/>
    <xf numFmtId="0" fontId="67" fillId="2" borderId="18" xfId="0" applyFont="1" applyFill="1" applyBorder="1"/>
    <xf numFmtId="0" fontId="67" fillId="2" borderId="17" xfId="0" applyFont="1" applyFill="1" applyBorder="1" applyAlignment="1">
      <alignment horizontal="center" wrapText="1"/>
    </xf>
    <xf numFmtId="0" fontId="67" fillId="2" borderId="18" xfId="0" applyFont="1" applyFill="1" applyBorder="1" applyAlignment="1">
      <alignment horizontal="center"/>
    </xf>
    <xf numFmtId="0" fontId="67" fillId="0" borderId="21" xfId="0" applyFont="1" applyBorder="1" applyAlignment="1">
      <alignment horizontal="center"/>
    </xf>
    <xf numFmtId="0" fontId="11" fillId="71" borderId="9" xfId="0" applyFont="1" applyFill="1" applyBorder="1" applyAlignment="1">
      <alignment horizontal="left"/>
    </xf>
    <xf numFmtId="14" fontId="67" fillId="4" borderId="21" xfId="0" applyNumberFormat="1" applyFont="1" applyFill="1" applyBorder="1"/>
    <xf numFmtId="0" fontId="67" fillId="2" borderId="17" xfId="0" applyFont="1" applyFill="1" applyBorder="1" applyAlignment="1">
      <alignment horizontal="left" wrapText="1"/>
    </xf>
    <xf numFmtId="0" fontId="67" fillId="2" borderId="18" xfId="0" applyFont="1" applyFill="1" applyBorder="1" applyAlignment="1">
      <alignment horizontal="left"/>
    </xf>
    <xf numFmtId="0" fontId="67" fillId="4" borderId="21" xfId="0" applyFont="1" applyFill="1" applyBorder="1" applyAlignment="1">
      <alignment horizontal="left"/>
    </xf>
    <xf numFmtId="0" fontId="67" fillId="4" borderId="21" xfId="0" applyFont="1" applyFill="1" applyBorder="1" applyAlignment="1">
      <alignment wrapText="1"/>
    </xf>
    <xf numFmtId="0" fontId="67" fillId="4" borderId="21" xfId="0" applyFont="1" applyFill="1" applyBorder="1" applyAlignment="1">
      <alignment horizontal="right"/>
    </xf>
    <xf numFmtId="0" fontId="67" fillId="4" borderId="21" xfId="0" applyFont="1" applyFill="1" applyBorder="1" applyAlignment="1">
      <alignment horizontal="right" wrapText="1"/>
    </xf>
    <xf numFmtId="0" fontId="11" fillId="4" borderId="9" xfId="0" applyFont="1" applyFill="1" applyBorder="1"/>
    <xf numFmtId="37" fontId="67" fillId="4" borderId="21" xfId="8" applyNumberFormat="1" applyFont="1" applyFill="1" applyBorder="1" applyAlignment="1">
      <alignment wrapText="1"/>
    </xf>
    <xf numFmtId="3" fontId="67" fillId="4" borderId="21" xfId="0" applyNumberFormat="1" applyFont="1" applyFill="1" applyBorder="1" applyAlignment="1">
      <alignment wrapText="1"/>
    </xf>
    <xf numFmtId="0" fontId="68" fillId="4" borderId="17" xfId="0" applyFont="1" applyFill="1" applyBorder="1" applyAlignment="1">
      <alignment wrapText="1"/>
    </xf>
    <xf numFmtId="3" fontId="7" fillId="62" borderId="15" xfId="0" applyNumberFormat="1" applyFont="1" applyFill="1" applyBorder="1" applyAlignment="1">
      <alignment horizontal="left" wrapText="1"/>
    </xf>
    <xf numFmtId="0" fontId="68" fillId="4" borderId="21" xfId="0" applyFont="1" applyFill="1" applyBorder="1" applyAlignment="1">
      <alignment horizontal="left"/>
    </xf>
    <xf numFmtId="0" fontId="67" fillId="4" borderId="21" xfId="0" applyFont="1" applyFill="1" applyBorder="1" applyAlignment="1">
      <alignment horizontal="center" wrapText="1"/>
    </xf>
    <xf numFmtId="3" fontId="67" fillId="4" borderId="21" xfId="0" applyNumberFormat="1" applyFont="1" applyFill="1" applyBorder="1" applyAlignment="1">
      <alignment horizontal="center" wrapText="1"/>
    </xf>
    <xf numFmtId="3" fontId="11" fillId="62" borderId="14" xfId="0" applyNumberFormat="1" applyFont="1" applyFill="1" applyBorder="1" applyAlignment="1">
      <alignment horizontal="right" wrapText="1"/>
    </xf>
    <xf numFmtId="3" fontId="67" fillId="4" borderId="21" xfId="0" applyNumberFormat="1" applyFont="1" applyFill="1" applyBorder="1" applyAlignment="1">
      <alignment horizontal="center"/>
    </xf>
    <xf numFmtId="0" fontId="67" fillId="4" borderId="20" xfId="0" applyFont="1" applyFill="1" applyBorder="1" applyAlignment="1">
      <alignment wrapText="1"/>
    </xf>
    <xf numFmtId="0" fontId="67" fillId="4" borderId="22" xfId="0" applyFont="1" applyFill="1" applyBorder="1" applyAlignment="1">
      <alignment wrapText="1"/>
    </xf>
    <xf numFmtId="0" fontId="67" fillId="0" borderId="23" xfId="0" applyFont="1" applyBorder="1" applyAlignment="1">
      <alignment horizontal="center"/>
    </xf>
    <xf numFmtId="14" fontId="11" fillId="60" borderId="22" xfId="0" applyNumberFormat="1" applyFont="1" applyFill="1" applyBorder="1" applyAlignment="1">
      <alignment horizontal="right" wrapText="1"/>
    </xf>
    <xf numFmtId="17" fontId="11" fillId="72" borderId="18" xfId="0" applyNumberFormat="1" applyFont="1" applyFill="1" applyBorder="1" applyAlignment="1">
      <alignment horizontal="right" wrapText="1"/>
    </xf>
    <xf numFmtId="1" fontId="11" fillId="60" borderId="17" xfId="0" applyNumberFormat="1" applyFont="1" applyFill="1" applyBorder="1" applyAlignment="1">
      <alignment horizontal="left" wrapText="1"/>
    </xf>
    <xf numFmtId="3" fontId="11" fillId="63" borderId="17" xfId="0" applyNumberFormat="1" applyFont="1" applyFill="1" applyBorder="1" applyAlignment="1">
      <alignment horizontal="left" wrapText="1"/>
    </xf>
    <xf numFmtId="165" fontId="14" fillId="63" borderId="17" xfId="0" applyNumberFormat="1" applyFont="1" applyFill="1" applyBorder="1" applyAlignment="1">
      <alignment horizontal="left" wrapText="1"/>
    </xf>
    <xf numFmtId="0" fontId="70" fillId="0" borderId="17" xfId="0" applyFont="1" applyBorder="1"/>
    <xf numFmtId="165" fontId="11" fillId="62" borderId="15" xfId="0" applyNumberFormat="1" applyFont="1" applyFill="1" applyBorder="1" applyAlignment="1">
      <alignment wrapText="1"/>
    </xf>
    <xf numFmtId="37" fontId="11" fillId="63" borderId="18" xfId="0" applyNumberFormat="1" applyFont="1" applyFill="1" applyBorder="1" applyAlignment="1">
      <alignment horizontal="right" wrapText="1"/>
    </xf>
    <xf numFmtId="3" fontId="11" fillId="72" borderId="18" xfId="0" applyNumberFormat="1" applyFont="1" applyFill="1" applyBorder="1" applyAlignment="1">
      <alignment horizontal="right" wrapText="1"/>
    </xf>
    <xf numFmtId="0" fontId="21" fillId="60" borderId="15" xfId="0" applyFont="1" applyFill="1" applyBorder="1"/>
    <xf numFmtId="1" fontId="11" fillId="60" borderId="9" xfId="0" applyNumberFormat="1" applyFont="1" applyFill="1" applyBorder="1" applyAlignment="1">
      <alignment horizontal="right" wrapText="1"/>
    </xf>
    <xf numFmtId="0" fontId="11" fillId="62" borderId="16" xfId="0" applyFont="1" applyFill="1" applyBorder="1" applyAlignment="1">
      <alignment horizontal="right" wrapText="1"/>
    </xf>
    <xf numFmtId="0" fontId="67" fillId="2" borderId="18" xfId="0" applyFont="1" applyFill="1" applyBorder="1" applyAlignment="1"/>
    <xf numFmtId="0" fontId="68" fillId="2" borderId="18" xfId="0" applyFont="1" applyFill="1" applyBorder="1" applyAlignment="1"/>
    <xf numFmtId="166" fontId="11" fillId="4" borderId="9" xfId="0" applyNumberFormat="1" applyFont="1" applyFill="1" applyBorder="1" applyAlignment="1">
      <alignment wrapText="1"/>
    </xf>
    <xf numFmtId="0" fontId="67" fillId="4" borderId="18" xfId="0" applyFont="1" applyFill="1" applyBorder="1" applyAlignment="1"/>
    <xf numFmtId="3" fontId="11" fillId="3" borderId="9" xfId="0" applyNumberFormat="1" applyFont="1" applyFill="1" applyBorder="1" applyAlignment="1">
      <alignment wrapText="1"/>
    </xf>
    <xf numFmtId="0" fontId="74" fillId="37" borderId="18" xfId="0" applyFont="1" applyFill="1" applyBorder="1" applyAlignment="1">
      <alignment horizontal="left" wrapText="1"/>
    </xf>
    <xf numFmtId="4" fontId="67" fillId="2" borderId="18" xfId="0" applyNumberFormat="1" applyFont="1" applyFill="1" applyBorder="1" applyAlignment="1"/>
    <xf numFmtId="2" fontId="11" fillId="0" borderId="9" xfId="0" applyNumberFormat="1" applyFont="1" applyFill="1" applyBorder="1" applyAlignment="1">
      <alignment wrapText="1"/>
    </xf>
    <xf numFmtId="2" fontId="7" fillId="0" borderId="9" xfId="0" applyNumberFormat="1" applyFont="1" applyFill="1" applyBorder="1" applyAlignment="1">
      <alignment wrapText="1"/>
    </xf>
    <xf numFmtId="0" fontId="53" fillId="0" borderId="9" xfId="0" applyFont="1" applyFill="1" applyBorder="1" applyAlignment="1">
      <alignment wrapText="1"/>
    </xf>
    <xf numFmtId="0" fontId="33" fillId="2" borderId="15" xfId="0" applyFont="1" applyFill="1" applyBorder="1" applyAlignment="1">
      <alignment wrapText="1"/>
    </xf>
    <xf numFmtId="2" fontId="33" fillId="26" borderId="21" xfId="0" applyNumberFormat="1" applyFont="1" applyFill="1" applyBorder="1" applyAlignment="1">
      <alignment horizontal="left" wrapText="1"/>
    </xf>
    <xf numFmtId="3" fontId="33" fillId="26" borderId="9" xfId="0" applyNumberFormat="1" applyFont="1" applyFill="1" applyBorder="1" applyAlignment="1">
      <alignment horizontal="left" wrapText="1"/>
    </xf>
    <xf numFmtId="2" fontId="33" fillId="22" borderId="18" xfId="0" applyNumberFormat="1" applyFont="1" applyFill="1" applyBorder="1" applyAlignment="1">
      <alignment horizontal="left" wrapText="1"/>
    </xf>
    <xf numFmtId="0" fontId="33" fillId="35" borderId="23" xfId="0" applyFont="1" applyFill="1" applyBorder="1" applyAlignment="1">
      <alignment horizontal="left"/>
    </xf>
    <xf numFmtId="3" fontId="33" fillId="22" borderId="17" xfId="0" applyNumberFormat="1" applyFont="1" applyFill="1" applyBorder="1" applyAlignment="1">
      <alignment horizontal="left" wrapText="1"/>
    </xf>
    <xf numFmtId="0" fontId="11" fillId="72" borderId="29" xfId="0" applyFont="1" applyFill="1" applyBorder="1" applyAlignment="1">
      <alignment horizontal="right" wrapText="1"/>
    </xf>
    <xf numFmtId="0" fontId="11" fillId="72" borderId="9" xfId="0" applyFont="1" applyFill="1" applyBorder="1" applyAlignment="1">
      <alignment horizontal="right" wrapText="1"/>
    </xf>
    <xf numFmtId="0" fontId="57" fillId="21" borderId="9" xfId="0" applyFont="1" applyFill="1" applyBorder="1" applyAlignment="1"/>
    <xf numFmtId="0" fontId="58" fillId="41" borderId="17" xfId="0" applyFont="1" applyFill="1" applyBorder="1"/>
    <xf numFmtId="0" fontId="5" fillId="12" borderId="17" xfId="0" applyFont="1" applyFill="1" applyBorder="1" applyAlignment="1">
      <alignment horizontal="center" wrapText="1"/>
    </xf>
    <xf numFmtId="0" fontId="57" fillId="0" borderId="10" xfId="0" applyFont="1" applyBorder="1" applyAlignment="1"/>
    <xf numFmtId="0" fontId="9" fillId="0" borderId="11" xfId="0" applyFont="1" applyBorder="1"/>
    <xf numFmtId="0" fontId="9" fillId="0" borderId="12" xfId="0" applyFont="1" applyBorder="1"/>
    <xf numFmtId="0" fontId="58" fillId="55" borderId="17" xfId="0" applyFont="1" applyFill="1" applyBorder="1"/>
    <xf numFmtId="0" fontId="5" fillId="52" borderId="17" xfId="0" applyFont="1" applyFill="1" applyBorder="1" applyAlignment="1">
      <alignment horizontal="center" wrapText="1"/>
    </xf>
    <xf numFmtId="0" fontId="58" fillId="0" borderId="12" xfId="0" applyFont="1" applyBorder="1"/>
    <xf numFmtId="0" fontId="2" fillId="41" borderId="9" xfId="0" applyFont="1" applyFill="1" applyBorder="1" applyAlignment="1"/>
    <xf numFmtId="0" fontId="6" fillId="0" borderId="9" xfId="0" applyNumberFormat="1" applyFont="1" applyFill="1" applyBorder="1" applyAlignment="1" applyProtection="1">
      <alignment horizontal="center" textRotation="90" wrapText="1"/>
      <protection locked="0"/>
    </xf>
    <xf numFmtId="0" fontId="33" fillId="64" borderId="12" xfId="0" applyFont="1" applyFill="1" applyBorder="1" applyAlignment="1">
      <alignment wrapText="1"/>
    </xf>
    <xf numFmtId="0" fontId="33" fillId="0" borderId="15" xfId="0" applyFont="1" applyBorder="1" applyAlignment="1">
      <alignment horizontal="left" wrapText="1"/>
    </xf>
    <xf numFmtId="0" fontId="33" fillId="21" borderId="15" xfId="0" applyFont="1" applyFill="1" applyBorder="1" applyAlignment="1">
      <alignment wrapText="1"/>
    </xf>
    <xf numFmtId="0" fontId="33" fillId="35" borderId="16" xfId="0" applyFont="1" applyFill="1" applyBorder="1" applyAlignment="1">
      <alignment wrapText="1"/>
    </xf>
    <xf numFmtId="0" fontId="67" fillId="0" borderId="14" xfId="0" applyFont="1" applyBorder="1" applyAlignment="1">
      <alignment wrapText="1"/>
    </xf>
    <xf numFmtId="0" fontId="0" fillId="21" borderId="9" xfId="0" applyFill="1" applyBorder="1"/>
    <xf numFmtId="1" fontId="6" fillId="35" borderId="19" xfId="0" applyNumberFormat="1" applyFont="1" applyFill="1" applyBorder="1" applyAlignment="1">
      <alignment horizontal="center" textRotation="90" wrapText="1"/>
    </xf>
    <xf numFmtId="0" fontId="6" fillId="35" borderId="19" xfId="0" applyFont="1" applyFill="1" applyBorder="1" applyAlignment="1">
      <alignment horizontal="center" textRotation="90" wrapText="1"/>
    </xf>
    <xf numFmtId="164" fontId="6" fillId="35" borderId="19" xfId="0" applyNumberFormat="1" applyFont="1" applyFill="1" applyBorder="1" applyAlignment="1">
      <alignment horizontal="center" textRotation="90" wrapText="1"/>
    </xf>
    <xf numFmtId="0" fontId="6" fillId="35" borderId="25" xfId="0" applyFont="1" applyFill="1" applyBorder="1" applyAlignment="1">
      <alignment horizontal="center" textRotation="90" wrapText="1"/>
    </xf>
    <xf numFmtId="0" fontId="0" fillId="41" borderId="10" xfId="0" applyFill="1" applyBorder="1"/>
    <xf numFmtId="0" fontId="19" fillId="76" borderId="12" xfId="0" applyFont="1" applyFill="1" applyBorder="1" applyAlignment="1">
      <alignment wrapText="1"/>
    </xf>
    <xf numFmtId="49" fontId="11" fillId="60" borderId="17" xfId="0" applyNumberFormat="1" applyFont="1" applyFill="1" applyBorder="1" applyAlignment="1">
      <alignment horizontal="left" wrapText="1"/>
    </xf>
    <xf numFmtId="0" fontId="6" fillId="66" borderId="10" xfId="0" applyFont="1" applyFill="1" applyBorder="1" applyAlignment="1">
      <alignment horizontal="center" wrapText="1"/>
    </xf>
    <xf numFmtId="0" fontId="6" fillId="66" borderId="12" xfId="0" applyFont="1" applyFill="1" applyBorder="1" applyAlignment="1">
      <alignment horizontal="center" wrapText="1"/>
    </xf>
    <xf numFmtId="0" fontId="7" fillId="61" borderId="21" xfId="0" applyFont="1" applyFill="1" applyBorder="1" applyAlignment="1">
      <alignment wrapText="1"/>
    </xf>
    <xf numFmtId="0" fontId="6" fillId="0" borderId="19" xfId="0" applyFont="1" applyFill="1" applyBorder="1" applyAlignment="1">
      <alignment horizontal="center" textRotation="90" wrapText="1"/>
    </xf>
    <xf numFmtId="0" fontId="6" fillId="35" borderId="26" xfId="0" applyFont="1" applyFill="1" applyBorder="1" applyAlignment="1">
      <alignment horizontal="center" textRotation="90" wrapText="1"/>
    </xf>
    <xf numFmtId="166" fontId="6" fillId="82" borderId="19" xfId="0" applyNumberFormat="1" applyFont="1" applyFill="1" applyBorder="1" applyAlignment="1">
      <alignment horizontal="center" textRotation="90" wrapText="1"/>
    </xf>
    <xf numFmtId="1" fontId="6" fillId="59" borderId="19" xfId="0" applyNumberFormat="1" applyFont="1" applyFill="1" applyBorder="1" applyAlignment="1">
      <alignment horizontal="center" textRotation="90" wrapText="1"/>
    </xf>
    <xf numFmtId="0" fontId="6" fillId="59" borderId="19" xfId="0" applyFont="1" applyFill="1" applyBorder="1" applyAlignment="1">
      <alignment horizontal="center" textRotation="90" wrapText="1"/>
    </xf>
    <xf numFmtId="0" fontId="6" fillId="83" borderId="19" xfId="0" applyFont="1" applyFill="1" applyBorder="1" applyAlignment="1">
      <alignment horizontal="center" textRotation="90" wrapText="1"/>
    </xf>
    <xf numFmtId="2" fontId="6" fillId="59" borderId="19" xfId="0" applyNumberFormat="1" applyFont="1" applyFill="1" applyBorder="1" applyAlignment="1">
      <alignment horizontal="center" textRotation="90" wrapText="1"/>
    </xf>
    <xf numFmtId="0" fontId="6" fillId="83" borderId="25" xfId="0" applyFont="1" applyFill="1" applyBorder="1" applyAlignment="1">
      <alignment horizontal="center" textRotation="90" wrapText="1"/>
    </xf>
    <xf numFmtId="0" fontId="52" fillId="15" borderId="12" xfId="0" applyFont="1" applyFill="1" applyBorder="1" applyAlignment="1">
      <alignment horizontal="left" wrapText="1"/>
    </xf>
    <xf numFmtId="0" fontId="7" fillId="16" borderId="12" xfId="0" applyFont="1" applyFill="1" applyBorder="1" applyAlignment="1">
      <alignment horizontal="center" wrapText="1"/>
    </xf>
    <xf numFmtId="0" fontId="14" fillId="4" borderId="9" xfId="0" applyFont="1" applyFill="1" applyBorder="1" applyAlignment="1">
      <alignment horizontal="center" wrapText="1"/>
    </xf>
    <xf numFmtId="0" fontId="9" fillId="15" borderId="33" xfId="0" applyFont="1" applyFill="1" applyBorder="1" applyAlignment="1">
      <alignment horizontal="left" wrapText="1"/>
    </xf>
    <xf numFmtId="0" fontId="7" fillId="16" borderId="12" xfId="0" applyFont="1" applyFill="1" applyBorder="1" applyAlignment="1">
      <alignment wrapText="1"/>
    </xf>
    <xf numFmtId="0" fontId="7" fillId="14" borderId="34" xfId="0" applyFont="1" applyFill="1" applyBorder="1" applyAlignment="1">
      <alignment horizontal="center" wrapText="1"/>
    </xf>
    <xf numFmtId="0" fontId="7" fillId="54" borderId="12" xfId="0" applyFont="1" applyFill="1" applyBorder="1" applyAlignment="1">
      <alignment horizontal="center" wrapText="1"/>
    </xf>
    <xf numFmtId="0" fontId="6" fillId="0" borderId="19" xfId="0" applyFont="1" applyFill="1" applyBorder="1" applyAlignment="1">
      <alignment horizontal="center" wrapText="1"/>
    </xf>
    <xf numFmtId="0" fontId="11" fillId="71" borderId="35" xfId="0" applyFont="1" applyFill="1" applyBorder="1" applyAlignment="1">
      <alignment wrapText="1"/>
    </xf>
    <xf numFmtId="0" fontId="0" fillId="0" borderId="3" xfId="0" applyBorder="1"/>
    <xf numFmtId="0" fontId="45" fillId="77" borderId="12" xfId="0" applyFont="1" applyFill="1" applyBorder="1" applyAlignment="1"/>
    <xf numFmtId="0" fontId="14" fillId="18" borderId="17" xfId="2" applyFont="1" applyFill="1" applyBorder="1" applyAlignment="1">
      <alignment horizontal="left" wrapText="1"/>
    </xf>
    <xf numFmtId="0" fontId="11" fillId="17" borderId="9" xfId="2" applyFont="1" applyFill="1" applyBorder="1"/>
    <xf numFmtId="3" fontId="11" fillId="23" borderId="18" xfId="3" applyNumberFormat="1" applyFont="1" applyFill="1" applyBorder="1" applyAlignment="1">
      <alignment wrapText="1"/>
    </xf>
    <xf numFmtId="3" fontId="33" fillId="0" borderId="17" xfId="0" applyNumberFormat="1" applyFont="1" applyBorder="1" applyAlignment="1">
      <alignment horizontal="right" wrapText="1"/>
    </xf>
    <xf numFmtId="0" fontId="40" fillId="22" borderId="24" xfId="0" applyFont="1" applyFill="1" applyBorder="1" applyAlignment="1">
      <alignment wrapText="1"/>
    </xf>
    <xf numFmtId="0" fontId="21" fillId="60" borderId="17" xfId="0" applyFont="1" applyFill="1" applyBorder="1" applyAlignment="1">
      <alignment horizontal="center"/>
    </xf>
    <xf numFmtId="0" fontId="21" fillId="71" borderId="18" xfId="0" applyFont="1" applyFill="1" applyBorder="1" applyAlignment="1">
      <alignment horizontal="center"/>
    </xf>
    <xf numFmtId="3" fontId="11" fillId="0" borderId="9" xfId="0" applyNumberFormat="1" applyFont="1" applyFill="1" applyBorder="1" applyAlignment="1">
      <alignment horizontal="center" wrapText="1"/>
    </xf>
    <xf numFmtId="3" fontId="11" fillId="28" borderId="21" xfId="0" applyNumberFormat="1" applyFont="1" applyFill="1" applyBorder="1" applyAlignment="1">
      <alignment horizontal="center" wrapText="1"/>
    </xf>
    <xf numFmtId="3" fontId="77" fillId="0" borderId="9" xfId="0" applyNumberFormat="1" applyFont="1" applyBorder="1"/>
    <xf numFmtId="0" fontId="28" fillId="22" borderId="9" xfId="2" applyFont="1" applyFill="1" applyBorder="1" applyAlignment="1">
      <alignment horizontal="center" wrapText="1"/>
    </xf>
    <xf numFmtId="0" fontId="28" fillId="26" borderId="9" xfId="2" applyFont="1" applyFill="1" applyBorder="1" applyAlignment="1">
      <alignment horizontal="center" wrapText="1"/>
    </xf>
    <xf numFmtId="0" fontId="11" fillId="71" borderId="15" xfId="0" applyFont="1" applyFill="1" applyBorder="1"/>
    <xf numFmtId="3" fontId="11" fillId="70" borderId="14" xfId="0" applyNumberFormat="1" applyFont="1" applyFill="1" applyBorder="1" applyAlignment="1">
      <alignment wrapText="1"/>
    </xf>
    <xf numFmtId="0" fontId="11" fillId="71" borderId="21" xfId="0" applyFont="1" applyFill="1" applyBorder="1" applyAlignment="1">
      <alignment wrapText="1"/>
    </xf>
    <xf numFmtId="3" fontId="8" fillId="9" borderId="20" xfId="0" applyNumberFormat="1" applyFont="1" applyFill="1" applyBorder="1" applyAlignment="1">
      <alignment horizontal="center" wrapText="1"/>
    </xf>
    <xf numFmtId="0" fontId="11" fillId="26" borderId="20" xfId="0" applyFont="1" applyFill="1" applyBorder="1" applyAlignment="1">
      <alignment horizontal="center" wrapText="1"/>
    </xf>
    <xf numFmtId="0" fontId="66" fillId="4" borderId="23" xfId="0" applyFont="1" applyFill="1" applyBorder="1" applyAlignment="1"/>
    <xf numFmtId="0" fontId="66" fillId="6" borderId="9" xfId="0" applyFont="1" applyFill="1" applyBorder="1" applyAlignment="1"/>
    <xf numFmtId="0" fontId="79" fillId="18" borderId="15" xfId="2" applyFont="1" applyFill="1" applyBorder="1" applyAlignment="1">
      <alignment horizontal="center" wrapText="1"/>
    </xf>
    <xf numFmtId="0" fontId="79" fillId="18" borderId="9" xfId="2" applyFont="1" applyFill="1" applyBorder="1" applyAlignment="1">
      <alignment horizontal="center" wrapText="1"/>
    </xf>
    <xf numFmtId="0" fontId="79" fillId="40" borderId="9" xfId="2" applyFont="1" applyFill="1" applyBorder="1" applyAlignment="1">
      <alignment horizontal="center"/>
    </xf>
    <xf numFmtId="0" fontId="79" fillId="40" borderId="9" xfId="2" applyFont="1" applyFill="1" applyBorder="1" applyAlignment="1">
      <alignment horizontal="center" wrapText="1"/>
    </xf>
    <xf numFmtId="0" fontId="79" fillId="17" borderId="9" xfId="2" applyFont="1" applyFill="1" applyBorder="1" applyAlignment="1">
      <alignment horizontal="center" wrapText="1"/>
    </xf>
    <xf numFmtId="0" fontId="81" fillId="39" borderId="17" xfId="0" applyFont="1" applyFill="1" applyBorder="1" applyAlignment="1">
      <alignment horizontal="center" wrapText="1"/>
    </xf>
    <xf numFmtId="0" fontId="81" fillId="98" borderId="21" xfId="0" applyFont="1" applyFill="1" applyBorder="1" applyAlignment="1">
      <alignment horizontal="center" wrapText="1"/>
    </xf>
    <xf numFmtId="0" fontId="81" fillId="98" borderId="9" xfId="0" applyFont="1" applyFill="1" applyBorder="1" applyAlignment="1">
      <alignment horizontal="center" wrapText="1"/>
    </xf>
    <xf numFmtId="0" fontId="81" fillId="98" borderId="17" xfId="0" applyFont="1" applyFill="1" applyBorder="1" applyAlignment="1">
      <alignment horizontal="center" wrapText="1"/>
    </xf>
    <xf numFmtId="0" fontId="81" fillId="39" borderId="18" xfId="0" applyFont="1" applyFill="1" applyBorder="1" applyAlignment="1">
      <alignment horizontal="center" wrapText="1"/>
    </xf>
    <xf numFmtId="0" fontId="79" fillId="61" borderId="30" xfId="0" applyFont="1" applyFill="1" applyBorder="1" applyAlignment="1">
      <alignment wrapText="1"/>
    </xf>
    <xf numFmtId="0" fontId="79" fillId="61" borderId="30" xfId="0" applyFont="1" applyFill="1" applyBorder="1" applyAlignment="1">
      <alignment horizontal="center" wrapText="1"/>
    </xf>
    <xf numFmtId="0" fontId="66" fillId="39" borderId="9" xfId="0" applyFont="1" applyFill="1" applyBorder="1" applyAlignment="1">
      <alignment horizontal="center" wrapText="1"/>
    </xf>
    <xf numFmtId="0" fontId="81" fillId="39" borderId="9" xfId="0" applyFont="1" applyFill="1" applyBorder="1" applyAlignment="1">
      <alignment horizontal="center"/>
    </xf>
    <xf numFmtId="0" fontId="81" fillId="39" borderId="9" xfId="0" applyFont="1" applyFill="1" applyBorder="1" applyAlignment="1">
      <alignment wrapText="1"/>
    </xf>
    <xf numFmtId="0" fontId="79" fillId="61" borderId="18" xfId="0" applyFont="1" applyFill="1" applyBorder="1" applyAlignment="1">
      <alignment wrapText="1"/>
    </xf>
    <xf numFmtId="0" fontId="66" fillId="2" borderId="9" xfId="0" applyFont="1" applyFill="1" applyBorder="1" applyAlignment="1">
      <alignment horizontal="center"/>
    </xf>
    <xf numFmtId="0" fontId="79" fillId="61" borderId="21" xfId="0" applyFont="1" applyFill="1" applyBorder="1" applyAlignment="1">
      <alignment wrapText="1"/>
    </xf>
    <xf numFmtId="0" fontId="79" fillId="2" borderId="18" xfId="0" applyFont="1" applyFill="1" applyBorder="1" applyAlignment="1">
      <alignment wrapText="1"/>
    </xf>
    <xf numFmtId="0" fontId="66" fillId="89" borderId="5" xfId="0" applyFont="1" applyFill="1" applyBorder="1" applyAlignment="1">
      <alignment horizontal="center"/>
    </xf>
    <xf numFmtId="0" fontId="79" fillId="90" borderId="21" xfId="0" applyFont="1" applyFill="1" applyBorder="1" applyAlignment="1">
      <alignment wrapText="1"/>
    </xf>
    <xf numFmtId="0" fontId="79" fillId="4" borderId="9" xfId="2" applyFont="1" applyFill="1" applyBorder="1" applyAlignment="1">
      <alignment horizontal="center" wrapText="1"/>
    </xf>
    <xf numFmtId="0" fontId="79" fillId="18" borderId="18" xfId="2" applyFont="1" applyFill="1" applyBorder="1" applyAlignment="1">
      <alignment wrapText="1"/>
    </xf>
    <xf numFmtId="0" fontId="79" fillId="4" borderId="18" xfId="2" applyFont="1" applyFill="1" applyBorder="1" applyAlignment="1">
      <alignment wrapText="1"/>
    </xf>
    <xf numFmtId="0" fontId="79" fillId="40" borderId="21" xfId="2" applyFont="1" applyFill="1" applyBorder="1" applyAlignment="1"/>
    <xf numFmtId="0" fontId="79" fillId="40" borderId="9" xfId="2" applyFont="1" applyFill="1" applyBorder="1" applyAlignment="1"/>
    <xf numFmtId="0" fontId="79" fillId="40" borderId="18" xfId="2" applyFont="1" applyFill="1" applyBorder="1" applyAlignment="1">
      <alignment wrapText="1"/>
    </xf>
    <xf numFmtId="0" fontId="79" fillId="18" borderId="21" xfId="2" applyFont="1" applyFill="1" applyBorder="1" applyAlignment="1">
      <alignment wrapText="1"/>
    </xf>
    <xf numFmtId="0" fontId="79" fillId="40" borderId="9" xfId="2" applyFont="1" applyFill="1" applyBorder="1" applyAlignment="1">
      <alignment wrapText="1"/>
    </xf>
    <xf numFmtId="0" fontId="79" fillId="27" borderId="9" xfId="0" applyFont="1" applyFill="1" applyBorder="1" applyAlignment="1">
      <alignment horizontal="left" wrapText="1"/>
    </xf>
    <xf numFmtId="0" fontId="81" fillId="39" borderId="17" xfId="0" applyFont="1" applyFill="1" applyBorder="1" applyAlignment="1">
      <alignment wrapText="1"/>
    </xf>
    <xf numFmtId="0" fontId="81" fillId="98" borderId="21" xfId="0" applyFont="1" applyFill="1" applyBorder="1" applyAlignment="1">
      <alignment wrapText="1"/>
    </xf>
    <xf numFmtId="0" fontId="81" fillId="98" borderId="9" xfId="0" applyFont="1" applyFill="1" applyBorder="1" applyAlignment="1">
      <alignment wrapText="1"/>
    </xf>
    <xf numFmtId="0" fontId="81" fillId="98" borderId="17" xfId="0" applyFont="1" applyFill="1" applyBorder="1" applyAlignment="1">
      <alignment wrapText="1"/>
    </xf>
    <xf numFmtId="0" fontId="81" fillId="99" borderId="18" xfId="0" applyFont="1" applyFill="1" applyBorder="1" applyAlignment="1">
      <alignment wrapText="1"/>
    </xf>
    <xf numFmtId="0" fontId="79" fillId="40" borderId="10" xfId="2" applyFont="1" applyFill="1" applyBorder="1" applyAlignment="1">
      <alignment horizontal="center" wrapText="1"/>
    </xf>
    <xf numFmtId="0" fontId="79" fillId="40" borderId="15" xfId="2" applyFont="1" applyFill="1" applyBorder="1" applyAlignment="1">
      <alignment horizontal="center" wrapText="1"/>
    </xf>
    <xf numFmtId="0" fontId="79" fillId="4" borderId="15" xfId="2" applyFont="1" applyFill="1" applyBorder="1" applyAlignment="1">
      <alignment horizontal="center" wrapText="1"/>
    </xf>
    <xf numFmtId="0" fontId="79" fillId="40" borderId="27" xfId="2" applyFont="1" applyFill="1" applyBorder="1" applyAlignment="1">
      <alignment horizontal="center"/>
    </xf>
    <xf numFmtId="0" fontId="79" fillId="40" borderId="10" xfId="2" applyFont="1" applyFill="1" applyBorder="1" applyAlignment="1">
      <alignment horizontal="center"/>
    </xf>
    <xf numFmtId="0" fontId="79" fillId="18" borderId="27" xfId="2" applyFont="1" applyFill="1" applyBorder="1" applyAlignment="1">
      <alignment horizontal="center" wrapText="1"/>
    </xf>
    <xf numFmtId="0" fontId="79" fillId="17" borderId="10" xfId="2" applyFont="1" applyFill="1" applyBorder="1" applyAlignment="1">
      <alignment horizontal="center" wrapText="1"/>
    </xf>
    <xf numFmtId="0" fontId="80" fillId="40" borderId="9" xfId="2" applyFont="1" applyFill="1" applyBorder="1" applyAlignment="1">
      <alignment horizontal="center"/>
    </xf>
    <xf numFmtId="0" fontId="28" fillId="0" borderId="9" xfId="2" applyFont="1" applyFill="1" applyBorder="1" applyAlignment="1">
      <alignment horizontal="center" wrapText="1"/>
    </xf>
    <xf numFmtId="0" fontId="28" fillId="22" borderId="9" xfId="2" applyFont="1" applyFill="1" applyBorder="1" applyAlignment="1">
      <alignment horizontal="center"/>
    </xf>
    <xf numFmtId="0" fontId="0" fillId="0" borderId="0" xfId="0" applyBorder="1" applyAlignment="1">
      <alignment horizontal="center"/>
    </xf>
    <xf numFmtId="0" fontId="78" fillId="0" borderId="9" xfId="0" applyFont="1" applyBorder="1" applyAlignment="1">
      <alignment horizontal="center"/>
    </xf>
    <xf numFmtId="0" fontId="0" fillId="0" borderId="0" xfId="0" applyBorder="1" applyAlignment="1">
      <alignment horizontal="left"/>
    </xf>
    <xf numFmtId="0" fontId="66" fillId="89" borderId="9" xfId="0" applyFont="1" applyFill="1" applyBorder="1" applyAlignment="1">
      <alignment wrapText="1"/>
    </xf>
    <xf numFmtId="0" fontId="2" fillId="0" borderId="26" xfId="0" applyFont="1" applyFill="1" applyBorder="1" applyAlignment="1">
      <alignment horizontal="left"/>
    </xf>
    <xf numFmtId="0" fontId="78" fillId="0" borderId="0" xfId="0" applyFont="1" applyBorder="1" applyAlignment="1">
      <alignment horizontal="center"/>
    </xf>
    <xf numFmtId="0" fontId="2" fillId="0" borderId="9" xfId="0" applyFont="1" applyFill="1" applyBorder="1" applyAlignment="1">
      <alignment horizontal="center" wrapText="1"/>
    </xf>
    <xf numFmtId="0" fontId="82" fillId="0" borderId="0" xfId="0" applyFont="1"/>
    <xf numFmtId="0" fontId="3" fillId="100" borderId="4" xfId="0" applyFont="1" applyFill="1" applyBorder="1" applyAlignment="1"/>
    <xf numFmtId="0" fontId="31" fillId="41" borderId="9" xfId="0" applyFont="1" applyFill="1" applyBorder="1" applyAlignment="1">
      <alignment wrapText="1"/>
    </xf>
    <xf numFmtId="0" fontId="13" fillId="22" borderId="23" xfId="2" applyFont="1" applyFill="1" applyBorder="1" applyAlignment="1">
      <alignment wrapText="1"/>
    </xf>
    <xf numFmtId="0" fontId="16" fillId="2" borderId="9" xfId="0" applyFont="1" applyFill="1" applyBorder="1" applyAlignment="1">
      <alignment wrapText="1"/>
    </xf>
    <xf numFmtId="0" fontId="3" fillId="67" borderId="4" xfId="0" applyFont="1" applyFill="1" applyBorder="1" applyAlignment="1"/>
    <xf numFmtId="4" fontId="11" fillId="22" borderId="9" xfId="2" applyNumberFormat="1" applyFont="1" applyFill="1" applyBorder="1" applyAlignment="1">
      <alignment wrapText="1"/>
    </xf>
    <xf numFmtId="0" fontId="6" fillId="0" borderId="26" xfId="0" applyNumberFormat="1" applyFont="1" applyFill="1" applyBorder="1" applyAlignment="1" applyProtection="1">
      <alignment horizontal="center" wrapText="1"/>
      <protection locked="0"/>
    </xf>
    <xf numFmtId="3" fontId="11" fillId="85" borderId="9" xfId="0" applyNumberFormat="1" applyFont="1" applyFill="1" applyBorder="1" applyAlignment="1">
      <alignment horizontal="right" wrapText="1"/>
    </xf>
    <xf numFmtId="0" fontId="68" fillId="4" borderId="9" xfId="0" applyFont="1" applyFill="1" applyBorder="1" applyAlignment="1">
      <alignment wrapText="1"/>
    </xf>
    <xf numFmtId="0" fontId="3" fillId="102" borderId="6" xfId="0" applyFont="1" applyFill="1" applyBorder="1" applyAlignment="1"/>
    <xf numFmtId="0" fontId="0" fillId="0" borderId="0" xfId="0" applyAlignment="1">
      <alignment wrapText="1"/>
    </xf>
    <xf numFmtId="0" fontId="23" fillId="0" borderId="9" xfId="0" applyFont="1" applyFill="1" applyBorder="1" applyAlignment="1">
      <alignment wrapText="1"/>
    </xf>
    <xf numFmtId="0" fontId="23" fillId="0" borderId="9" xfId="0" applyFont="1" applyBorder="1" applyAlignment="1">
      <alignment wrapText="1"/>
    </xf>
    <xf numFmtId="0" fontId="24" fillId="0" borderId="0" xfId="0" applyFont="1" applyFill="1" applyBorder="1" applyAlignment="1">
      <alignment horizontal="center" wrapText="1"/>
    </xf>
    <xf numFmtId="0" fontId="26" fillId="0" borderId="9" xfId="0" applyFont="1" applyBorder="1" applyAlignment="1">
      <alignment wrapText="1"/>
    </xf>
    <xf numFmtId="0" fontId="0" fillId="0" borderId="9" xfId="0" applyFont="1" applyBorder="1" applyAlignment="1"/>
    <xf numFmtId="0" fontId="28" fillId="0" borderId="0" xfId="0" applyFont="1" applyFill="1" applyBorder="1" applyAlignment="1">
      <alignment wrapText="1"/>
    </xf>
    <xf numFmtId="0" fontId="12" fillId="0" borderId="9" xfId="0" applyFont="1" applyFill="1" applyBorder="1" applyAlignment="1"/>
    <xf numFmtId="0" fontId="18" fillId="35" borderId="9" xfId="0" applyFont="1" applyFill="1" applyBorder="1" applyAlignment="1">
      <alignment horizontal="center" wrapText="1"/>
    </xf>
    <xf numFmtId="3" fontId="18" fillId="35" borderId="9" xfId="0" applyNumberFormat="1" applyFont="1" applyFill="1" applyBorder="1" applyAlignment="1">
      <alignment wrapText="1"/>
    </xf>
    <xf numFmtId="3" fontId="77" fillId="35" borderId="9" xfId="0" applyNumberFormat="1" applyFont="1" applyFill="1" applyBorder="1" applyAlignment="1">
      <alignment wrapText="1"/>
    </xf>
    <xf numFmtId="0" fontId="18" fillId="0" borderId="9" xfId="0" applyFont="1" applyFill="1" applyBorder="1" applyAlignment="1">
      <alignment horizontal="center" wrapText="1"/>
    </xf>
    <xf numFmtId="0" fontId="20" fillId="0" borderId="9" xfId="0" applyFont="1" applyFill="1" applyBorder="1" applyAlignment="1">
      <alignment horizontal="center"/>
    </xf>
    <xf numFmtId="3" fontId="18" fillId="0" borderId="9" xfId="0" applyNumberFormat="1" applyFont="1" applyFill="1" applyBorder="1" applyAlignment="1">
      <alignment horizontal="center" wrapText="1"/>
    </xf>
    <xf numFmtId="3" fontId="77" fillId="0" borderId="9" xfId="0" applyNumberFormat="1" applyFont="1" applyFill="1" applyBorder="1" applyAlignment="1">
      <alignment horizontal="center" wrapText="1"/>
    </xf>
    <xf numFmtId="0" fontId="0" fillId="0" borderId="9" xfId="0" applyFont="1" applyBorder="1" applyAlignment="1">
      <alignment horizontal="center"/>
    </xf>
    <xf numFmtId="0" fontId="0" fillId="0" borderId="9" xfId="0" applyFont="1" applyFill="1" applyBorder="1" applyAlignment="1">
      <alignment horizontal="center"/>
    </xf>
    <xf numFmtId="0" fontId="31" fillId="21" borderId="9" xfId="0" applyFont="1" applyFill="1" applyBorder="1" applyAlignment="1">
      <alignment wrapText="1"/>
    </xf>
    <xf numFmtId="3" fontId="0" fillId="0" borderId="9" xfId="0" applyNumberFormat="1" applyFont="1" applyFill="1" applyBorder="1" applyAlignment="1">
      <alignment horizontal="center"/>
    </xf>
    <xf numFmtId="3" fontId="51" fillId="0" borderId="9" xfId="0" applyNumberFormat="1" applyFont="1" applyFill="1" applyBorder="1" applyAlignment="1">
      <alignment horizontal="center"/>
    </xf>
    <xf numFmtId="0" fontId="11" fillId="0" borderId="17" xfId="2" applyFont="1" applyFill="1" applyBorder="1" applyAlignment="1">
      <alignment wrapText="1"/>
    </xf>
    <xf numFmtId="0" fontId="11" fillId="0" borderId="18" xfId="2" applyFont="1" applyFill="1" applyBorder="1" applyAlignment="1">
      <alignment wrapText="1"/>
    </xf>
    <xf numFmtId="0" fontId="11" fillId="0" borderId="23" xfId="2" applyFont="1" applyFill="1" applyBorder="1" applyAlignment="1">
      <alignment wrapText="1"/>
    </xf>
    <xf numFmtId="0" fontId="11" fillId="0" borderId="9" xfId="2" applyFont="1" applyFill="1" applyBorder="1" applyAlignment="1">
      <alignment wrapText="1"/>
    </xf>
    <xf numFmtId="0" fontId="11" fillId="0" borderId="9" xfId="0" applyFont="1" applyFill="1" applyBorder="1" applyAlignment="1">
      <alignment horizontal="left" wrapText="1"/>
    </xf>
    <xf numFmtId="3" fontId="11" fillId="0" borderId="18" xfId="2" applyNumberFormat="1" applyFont="1" applyFill="1" applyBorder="1" applyAlignment="1">
      <alignment wrapText="1"/>
    </xf>
    <xf numFmtId="0" fontId="11" fillId="4" borderId="22" xfId="0" applyFont="1" applyFill="1" applyBorder="1" applyAlignment="1">
      <alignment wrapText="1"/>
    </xf>
    <xf numFmtId="0" fontId="11" fillId="4" borderId="19" xfId="0" applyFont="1" applyFill="1" applyBorder="1" applyAlignment="1">
      <alignment wrapText="1"/>
    </xf>
    <xf numFmtId="0" fontId="11" fillId="2" borderId="21" xfId="2" applyFont="1" applyFill="1" applyBorder="1" applyAlignment="1">
      <alignment wrapText="1"/>
    </xf>
    <xf numFmtId="0" fontId="11" fillId="2" borderId="18" xfId="2" applyFont="1" applyFill="1" applyBorder="1" applyAlignment="1">
      <alignment wrapText="1"/>
    </xf>
    <xf numFmtId="0" fontId="11" fillId="2" borderId="9" xfId="0" applyFont="1" applyFill="1" applyBorder="1" applyAlignment="1">
      <alignment horizontal="left" wrapText="1"/>
    </xf>
    <xf numFmtId="3" fontId="11" fillId="93" borderId="9" xfId="0" applyNumberFormat="1" applyFont="1" applyFill="1" applyBorder="1" applyAlignment="1">
      <alignment horizontal="right" wrapText="1"/>
    </xf>
    <xf numFmtId="3" fontId="11" fillId="84" borderId="9" xfId="0" applyNumberFormat="1" applyFont="1" applyFill="1" applyBorder="1" applyAlignment="1">
      <alignment horizontal="right" wrapText="1"/>
    </xf>
    <xf numFmtId="0" fontId="47" fillId="18" borderId="18" xfId="0" applyFont="1" applyFill="1" applyBorder="1" applyAlignment="1">
      <alignment horizontal="left" wrapText="1"/>
    </xf>
    <xf numFmtId="3" fontId="14" fillId="2" borderId="18" xfId="0" applyNumberFormat="1" applyFont="1" applyFill="1" applyBorder="1" applyAlignment="1">
      <alignment horizontal="right"/>
    </xf>
    <xf numFmtId="0" fontId="11" fillId="18" borderId="9" xfId="2" applyFont="1" applyFill="1" applyBorder="1" applyAlignment="1">
      <alignment horizontal="center" wrapText="1"/>
    </xf>
    <xf numFmtId="0" fontId="11" fillId="2" borderId="9" xfId="2" applyFont="1" applyFill="1" applyBorder="1" applyAlignment="1">
      <alignment wrapText="1"/>
    </xf>
    <xf numFmtId="0" fontId="11" fillId="40" borderId="18" xfId="0" applyFont="1" applyFill="1" applyBorder="1" applyAlignment="1">
      <alignment horizontal="right" wrapText="1"/>
    </xf>
    <xf numFmtId="3" fontId="33" fillId="38" borderId="17" xfId="0" applyNumberFormat="1" applyFont="1" applyFill="1" applyBorder="1" applyAlignment="1">
      <alignment wrapText="1"/>
    </xf>
    <xf numFmtId="0" fontId="33" fillId="19" borderId="21" xfId="0" applyFont="1" applyFill="1" applyBorder="1" applyAlignment="1">
      <alignment wrapText="1"/>
    </xf>
    <xf numFmtId="0" fontId="33" fillId="40" borderId="17" xfId="0" applyFont="1" applyFill="1" applyBorder="1" applyAlignment="1">
      <alignment horizontal="right" wrapText="1"/>
    </xf>
    <xf numFmtId="0" fontId="34" fillId="40" borderId="17" xfId="0" applyFont="1" applyFill="1" applyBorder="1" applyAlignment="1">
      <alignment wrapText="1"/>
    </xf>
    <xf numFmtId="0" fontId="33" fillId="19" borderId="17" xfId="0" applyFont="1" applyFill="1" applyBorder="1" applyAlignment="1">
      <alignment wrapText="1"/>
    </xf>
    <xf numFmtId="0" fontId="33" fillId="0" borderId="9" xfId="0" applyFont="1" applyFill="1" applyBorder="1" applyAlignment="1">
      <alignment wrapText="1"/>
    </xf>
    <xf numFmtId="0" fontId="34" fillId="0" borderId="23" xfId="0" applyFont="1" applyFill="1" applyBorder="1" applyAlignment="1">
      <alignment wrapText="1"/>
    </xf>
    <xf numFmtId="0" fontId="11" fillId="61" borderId="30" xfId="0" applyFont="1" applyFill="1" applyBorder="1" applyAlignment="1">
      <alignment horizontal="right" wrapText="1"/>
    </xf>
    <xf numFmtId="165" fontId="10" fillId="38" borderId="18" xfId="0" applyNumberFormat="1" applyFont="1" applyFill="1" applyBorder="1" applyAlignment="1">
      <alignment wrapText="1"/>
    </xf>
    <xf numFmtId="3" fontId="11" fillId="63" borderId="9" xfId="0" applyNumberFormat="1" applyFont="1" applyFill="1" applyBorder="1"/>
    <xf numFmtId="3" fontId="11" fillId="63" borderId="21" xfId="0" applyNumberFormat="1" applyFont="1" applyFill="1" applyBorder="1"/>
    <xf numFmtId="3" fontId="11" fillId="62" borderId="18" xfId="0" applyNumberFormat="1" applyFont="1" applyFill="1" applyBorder="1"/>
    <xf numFmtId="3" fontId="11" fillId="62" borderId="9" xfId="0" applyNumberFormat="1" applyFont="1" applyFill="1" applyBorder="1"/>
    <xf numFmtId="3" fontId="67" fillId="2" borderId="17" xfId="0" applyNumberFormat="1" applyFont="1" applyFill="1" applyBorder="1" applyAlignment="1">
      <alignment wrapText="1"/>
    </xf>
    <xf numFmtId="3" fontId="0" fillId="0" borderId="9" xfId="0" applyNumberFormat="1" applyFill="1" applyBorder="1"/>
    <xf numFmtId="3" fontId="11" fillId="61" borderId="9" xfId="0" applyNumberFormat="1" applyFont="1" applyFill="1" applyBorder="1" applyAlignment="1">
      <alignment wrapText="1"/>
    </xf>
    <xf numFmtId="3" fontId="0" fillId="41" borderId="11" xfId="0" applyNumberFormat="1" applyFill="1" applyBorder="1"/>
    <xf numFmtId="49" fontId="14" fillId="62" borderId="18" xfId="0" applyNumberFormat="1" applyFont="1" applyFill="1" applyBorder="1" applyAlignment="1">
      <alignment horizontal="left" wrapText="1"/>
    </xf>
    <xf numFmtId="3" fontId="11" fillId="60" borderId="22" xfId="0" applyNumberFormat="1" applyFont="1" applyFill="1" applyBorder="1"/>
    <xf numFmtId="3" fontId="11" fillId="3" borderId="18" xfId="0" applyNumberFormat="1" applyFont="1" applyFill="1" applyBorder="1"/>
    <xf numFmtId="4" fontId="7" fillId="61" borderId="18" xfId="0" applyNumberFormat="1" applyFont="1" applyFill="1" applyBorder="1" applyAlignment="1"/>
    <xf numFmtId="0" fontId="11" fillId="61" borderId="15" xfId="0" applyFont="1" applyFill="1" applyBorder="1" applyAlignment="1">
      <alignment wrapText="1"/>
    </xf>
    <xf numFmtId="0" fontId="11" fillId="62" borderId="15" xfId="0" applyFont="1" applyFill="1" applyBorder="1"/>
    <xf numFmtId="3" fontId="11" fillId="3" borderId="9" xfId="0" applyNumberFormat="1" applyFont="1" applyFill="1" applyBorder="1" applyAlignment="1"/>
    <xf numFmtId="3" fontId="11" fillId="3" borderId="9" xfId="0" applyNumberFormat="1" applyFont="1" applyFill="1" applyBorder="1"/>
    <xf numFmtId="3" fontId="11" fillId="63" borderId="30" xfId="0" applyNumberFormat="1" applyFont="1" applyFill="1" applyBorder="1" applyAlignment="1">
      <alignment horizontal="right" wrapText="1"/>
    </xf>
    <xf numFmtId="3" fontId="33" fillId="43" borderId="23" xfId="0" applyNumberFormat="1" applyFont="1" applyFill="1" applyBorder="1" applyAlignment="1"/>
    <xf numFmtId="3" fontId="33" fillId="19" borderId="23" xfId="0" applyNumberFormat="1" applyFont="1" applyFill="1" applyBorder="1" applyAlignment="1">
      <alignment wrapText="1"/>
    </xf>
    <xf numFmtId="3" fontId="11" fillId="43" borderId="18" xfId="2" applyNumberFormat="1" applyFont="1" applyFill="1" applyBorder="1" applyAlignment="1">
      <alignment wrapText="1"/>
    </xf>
    <xf numFmtId="3" fontId="11" fillId="40" borderId="18" xfId="2" applyNumberFormat="1" applyFont="1" applyFill="1" applyBorder="1" applyAlignment="1"/>
    <xf numFmtId="3" fontId="11" fillId="43" borderId="18" xfId="2" applyNumberFormat="1" applyFont="1" applyFill="1" applyBorder="1" applyAlignment="1"/>
    <xf numFmtId="3" fontId="11" fillId="40" borderId="23" xfId="2" applyNumberFormat="1" applyFont="1" applyFill="1" applyBorder="1" applyAlignment="1"/>
    <xf numFmtId="3" fontId="14" fillId="40" borderId="18" xfId="2" applyNumberFormat="1" applyFont="1" applyFill="1" applyBorder="1" applyAlignment="1">
      <alignment horizontal="right" wrapText="1"/>
    </xf>
    <xf numFmtId="3" fontId="14" fillId="40" borderId="9" xfId="2" applyNumberFormat="1" applyFont="1" applyFill="1" applyBorder="1" applyAlignment="1">
      <alignment horizontal="right" wrapText="1"/>
    </xf>
    <xf numFmtId="4" fontId="7" fillId="22" borderId="9" xfId="2" applyNumberFormat="1" applyFont="1" applyFill="1" applyBorder="1" applyAlignment="1">
      <alignment wrapText="1"/>
    </xf>
    <xf numFmtId="0" fontId="7" fillId="71" borderId="18" xfId="0" applyFont="1" applyFill="1" applyBorder="1" applyAlignment="1">
      <alignment wrapText="1"/>
    </xf>
    <xf numFmtId="4" fontId="7" fillId="62" borderId="9" xfId="0" applyNumberFormat="1" applyFont="1" applyFill="1" applyBorder="1" applyAlignment="1">
      <alignment wrapText="1"/>
    </xf>
    <xf numFmtId="4" fontId="7" fillId="70" borderId="18" xfId="0" applyNumberFormat="1" applyFont="1" applyFill="1" applyBorder="1" applyAlignment="1">
      <alignment wrapText="1"/>
    </xf>
    <xf numFmtId="4" fontId="7" fillId="60" borderId="18" xfId="0" applyNumberFormat="1" applyFont="1" applyFill="1" applyBorder="1" applyAlignment="1">
      <alignment wrapText="1"/>
    </xf>
    <xf numFmtId="0" fontId="20" fillId="35" borderId="9" xfId="0" applyFont="1" applyFill="1" applyBorder="1" applyAlignment="1">
      <alignment horizontal="center"/>
    </xf>
    <xf numFmtId="3" fontId="18" fillId="35" borderId="9" xfId="0" applyNumberFormat="1" applyFont="1" applyFill="1" applyBorder="1" applyAlignment="1">
      <alignment horizontal="center" wrapText="1"/>
    </xf>
    <xf numFmtId="0" fontId="11" fillId="4" borderId="21" xfId="0" applyFont="1" applyFill="1" applyBorder="1" applyAlignment="1">
      <alignment horizontal="left" wrapText="1"/>
    </xf>
    <xf numFmtId="0" fontId="68" fillId="2" borderId="23" xfId="0" applyFont="1" applyFill="1" applyBorder="1" applyAlignment="1">
      <alignment wrapText="1"/>
    </xf>
    <xf numFmtId="0" fontId="71" fillId="2" borderId="21" xfId="0" applyFont="1" applyFill="1" applyBorder="1" applyAlignment="1">
      <alignment wrapText="1"/>
    </xf>
    <xf numFmtId="3" fontId="11" fillId="60" borderId="14" xfId="0" applyNumberFormat="1" applyFont="1" applyFill="1" applyBorder="1" applyAlignment="1">
      <alignment wrapText="1"/>
    </xf>
    <xf numFmtId="0" fontId="6" fillId="35" borderId="26" xfId="0" applyFont="1" applyFill="1" applyBorder="1" applyAlignment="1">
      <alignment horizontal="center" wrapText="1"/>
    </xf>
    <xf numFmtId="0" fontId="6" fillId="35" borderId="22" xfId="0" applyFont="1" applyFill="1" applyBorder="1" applyAlignment="1">
      <alignment horizontal="center" wrapText="1"/>
    </xf>
    <xf numFmtId="0" fontId="0" fillId="2" borderId="2" xfId="0" applyFill="1" applyBorder="1"/>
    <xf numFmtId="0" fontId="0" fillId="2" borderId="3" xfId="0" applyFont="1" applyFill="1" applyBorder="1" applyAlignment="1"/>
    <xf numFmtId="0" fontId="0" fillId="3" borderId="0" xfId="0" applyFill="1" applyBorder="1"/>
    <xf numFmtId="0" fontId="0" fillId="3" borderId="5" xfId="0" applyFont="1" applyFill="1" applyBorder="1" applyAlignment="1"/>
    <xf numFmtId="0" fontId="4" fillId="4" borderId="0" xfId="0" applyFont="1" applyFill="1" applyBorder="1" applyAlignment="1"/>
    <xf numFmtId="0" fontId="0" fillId="4" borderId="5" xfId="0" applyFont="1" applyFill="1" applyBorder="1" applyAlignment="1"/>
    <xf numFmtId="0" fontId="0" fillId="67" borderId="0" xfId="0" applyFont="1" applyFill="1" applyBorder="1" applyAlignment="1"/>
    <xf numFmtId="0" fontId="0" fillId="67" borderId="5" xfId="0" applyFont="1" applyFill="1" applyBorder="1" applyAlignment="1"/>
    <xf numFmtId="0" fontId="0" fillId="101" borderId="0" xfId="0" applyFont="1" applyFill="1" applyBorder="1" applyAlignment="1"/>
    <xf numFmtId="0" fontId="0" fillId="101" borderId="5" xfId="0" applyFont="1" applyFill="1" applyBorder="1" applyAlignment="1"/>
    <xf numFmtId="0" fontId="0" fillId="102" borderId="7" xfId="0" applyFont="1" applyFill="1" applyBorder="1" applyAlignment="1"/>
    <xf numFmtId="0" fontId="0" fillId="102" borderId="8" xfId="0" applyFont="1" applyFill="1" applyBorder="1" applyAlignment="1"/>
    <xf numFmtId="0" fontId="55" fillId="22" borderId="9" xfId="0" applyFont="1" applyFill="1" applyBorder="1" applyAlignment="1">
      <alignment horizontal="center" wrapText="1"/>
    </xf>
    <xf numFmtId="3" fontId="55" fillId="22" borderId="17" xfId="0" applyNumberFormat="1" applyFont="1" applyFill="1" applyBorder="1" applyAlignment="1">
      <alignment wrapText="1"/>
    </xf>
    <xf numFmtId="0" fontId="31" fillId="41" borderId="22" xfId="0" applyFont="1" applyFill="1" applyBorder="1" applyAlignment="1"/>
    <xf numFmtId="0" fontId="0" fillId="0" borderId="22" xfId="0" applyFont="1" applyFill="1" applyBorder="1" applyAlignment="1"/>
    <xf numFmtId="4" fontId="13" fillId="71" borderId="22" xfId="0" applyNumberFormat="1" applyFont="1" applyFill="1" applyBorder="1" applyAlignment="1">
      <alignment wrapText="1"/>
    </xf>
    <xf numFmtId="165" fontId="67" fillId="4" borderId="18" xfId="8" applyNumberFormat="1" applyFont="1" applyFill="1" applyBorder="1" applyAlignment="1"/>
    <xf numFmtId="3" fontId="21" fillId="63" borderId="18" xfId="0" applyNumberFormat="1" applyFont="1" applyFill="1" applyBorder="1"/>
    <xf numFmtId="0" fontId="0" fillId="0" borderId="9" xfId="0" applyBorder="1" applyAlignment="1">
      <alignment wrapText="1"/>
    </xf>
    <xf numFmtId="0" fontId="21" fillId="60" borderId="0" xfId="0" applyFont="1" applyFill="1" applyBorder="1" applyAlignment="1">
      <alignment wrapText="1"/>
    </xf>
    <xf numFmtId="0" fontId="25" fillId="68" borderId="9" xfId="0" applyFont="1" applyFill="1" applyBorder="1" applyAlignment="1">
      <alignment wrapText="1"/>
    </xf>
    <xf numFmtId="0" fontId="25" fillId="68" borderId="18" xfId="0" applyFont="1" applyFill="1" applyBorder="1" applyAlignment="1">
      <alignment wrapText="1"/>
    </xf>
    <xf numFmtId="0" fontId="0" fillId="0" borderId="9" xfId="0" applyFont="1" applyBorder="1" applyAlignment="1">
      <alignment horizontal="left" vertical="center"/>
    </xf>
    <xf numFmtId="0" fontId="31" fillId="21" borderId="2" xfId="0" applyFont="1" applyFill="1" applyBorder="1" applyAlignment="1">
      <alignment horizontal="left" vertical="center" wrapText="1"/>
    </xf>
    <xf numFmtId="0" fontId="0" fillId="0" borderId="2" xfId="0" applyFont="1" applyBorder="1" applyAlignment="1">
      <alignment horizontal="left" vertical="center"/>
    </xf>
    <xf numFmtId="0" fontId="88" fillId="67" borderId="9" xfId="0" applyFont="1" applyFill="1" applyBorder="1" applyAlignment="1">
      <alignment horizontal="left" vertical="center"/>
    </xf>
    <xf numFmtId="0" fontId="31"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0" fillId="21" borderId="9" xfId="0" applyFont="1" applyFill="1" applyBorder="1" applyAlignment="1">
      <alignment horizontal="center" vertical="center"/>
    </xf>
    <xf numFmtId="0" fontId="0" fillId="21" borderId="0" xfId="0" applyFont="1" applyFill="1" applyBorder="1" applyAlignment="1">
      <alignment horizontal="center" vertical="center"/>
    </xf>
    <xf numFmtId="0" fontId="88" fillId="67" borderId="9" xfId="0" applyFont="1" applyFill="1" applyBorder="1" applyAlignment="1">
      <alignment horizontal="center" vertical="center"/>
    </xf>
    <xf numFmtId="0" fontId="0" fillId="21" borderId="9" xfId="0" applyFont="1" applyFill="1" applyBorder="1" applyAlignment="1">
      <alignment horizontal="center" vertical="center" wrapText="1"/>
    </xf>
    <xf numFmtId="3" fontId="0" fillId="21" borderId="9" xfId="0" applyNumberFormat="1" applyFont="1" applyFill="1" applyBorder="1" applyAlignment="1">
      <alignment horizontal="center" vertical="center" wrapText="1"/>
    </xf>
    <xf numFmtId="0" fontId="25" fillId="22" borderId="10" xfId="0" applyFont="1" applyFill="1" applyBorder="1" applyAlignment="1">
      <alignment horizontal="left" wrapText="1"/>
    </xf>
    <xf numFmtId="0" fontId="25" fillId="22" borderId="11" xfId="0" applyFont="1" applyFill="1" applyBorder="1" applyAlignment="1">
      <alignment horizontal="left" wrapText="1"/>
    </xf>
    <xf numFmtId="0" fontId="18" fillId="22" borderId="11" xfId="0" applyFont="1" applyFill="1" applyBorder="1" applyAlignment="1">
      <alignment horizontal="center" wrapText="1"/>
    </xf>
    <xf numFmtId="0" fontId="26" fillId="21" borderId="11" xfId="0" applyFont="1" applyFill="1" applyBorder="1" applyAlignment="1">
      <alignment wrapText="1"/>
    </xf>
    <xf numFmtId="0" fontId="26" fillId="21" borderId="12" xfId="0" applyFont="1" applyFill="1" applyBorder="1" applyAlignment="1">
      <alignment wrapText="1"/>
    </xf>
    <xf numFmtId="0" fontId="31" fillId="21" borderId="9" xfId="0" applyFont="1" applyFill="1" applyBorder="1" applyAlignment="1"/>
    <xf numFmtId="0" fontId="25" fillId="22" borderId="9" xfId="0" applyFont="1" applyFill="1" applyBorder="1" applyAlignment="1">
      <alignment wrapText="1"/>
    </xf>
    <xf numFmtId="0" fontId="25" fillId="68" borderId="17" xfId="0" applyFont="1" applyFill="1" applyBorder="1" applyAlignment="1">
      <alignment wrapText="1"/>
    </xf>
    <xf numFmtId="0" fontId="31" fillId="21" borderId="22" xfId="0" applyFont="1" applyFill="1" applyBorder="1" applyAlignment="1"/>
    <xf numFmtId="0" fontId="55" fillId="22" borderId="17" xfId="0" applyFont="1" applyFill="1" applyBorder="1" applyAlignment="1">
      <alignment horizontal="center" wrapText="1"/>
    </xf>
    <xf numFmtId="0" fontId="55" fillId="22" borderId="14" xfId="0" applyFont="1" applyFill="1" applyBorder="1" applyAlignment="1">
      <alignment horizontal="center" wrapText="1"/>
    </xf>
    <xf numFmtId="0" fontId="55" fillId="22" borderId="18" xfId="0" applyFont="1" applyFill="1" applyBorder="1" applyAlignment="1">
      <alignment horizontal="center" wrapText="1"/>
    </xf>
    <xf numFmtId="3" fontId="55" fillId="22" borderId="17" xfId="0" applyNumberFormat="1" applyFont="1" applyFill="1" applyBorder="1" applyAlignment="1">
      <alignment horizontal="center" wrapText="1"/>
    </xf>
    <xf numFmtId="3" fontId="55" fillId="22" borderId="18" xfId="0" applyNumberFormat="1" applyFont="1" applyFill="1" applyBorder="1" applyAlignment="1">
      <alignment horizontal="center" wrapText="1"/>
    </xf>
    <xf numFmtId="0" fontId="84" fillId="41" borderId="9" xfId="0" applyFont="1" applyFill="1" applyBorder="1" applyAlignment="1">
      <alignment wrapText="1"/>
    </xf>
    <xf numFmtId="0" fontId="89" fillId="41" borderId="9" xfId="0" applyFont="1" applyFill="1" applyBorder="1" applyAlignment="1">
      <alignment wrapText="1"/>
    </xf>
    <xf numFmtId="0" fontId="89" fillId="66" borderId="9" xfId="0" applyFont="1" applyFill="1" applyBorder="1" applyAlignment="1">
      <alignment wrapText="1"/>
    </xf>
    <xf numFmtId="0" fontId="89" fillId="66" borderId="9" xfId="0" applyFont="1" applyFill="1" applyBorder="1" applyAlignment="1">
      <alignment horizontal="center" wrapText="1"/>
    </xf>
    <xf numFmtId="0" fontId="90" fillId="41" borderId="9" xfId="0" applyFont="1" applyFill="1" applyBorder="1" applyAlignment="1">
      <alignment horizontal="center" wrapText="1"/>
    </xf>
    <xf numFmtId="0" fontId="22" fillId="12" borderId="9" xfId="0" applyFont="1" applyFill="1" applyBorder="1" applyAlignment="1">
      <alignment wrapText="1"/>
    </xf>
    <xf numFmtId="3" fontId="58" fillId="0" borderId="18" xfId="0" applyNumberFormat="1" applyFont="1" applyFill="1" applyBorder="1"/>
    <xf numFmtId="3" fontId="58" fillId="0" borderId="0" xfId="0" applyNumberFormat="1" applyFont="1" applyFill="1" applyBorder="1"/>
    <xf numFmtId="0" fontId="57" fillId="0" borderId="9" xfId="0" applyFont="1" applyFill="1" applyBorder="1" applyAlignment="1"/>
    <xf numFmtId="0" fontId="9" fillId="0" borderId="0" xfId="0" applyFont="1" applyFill="1"/>
    <xf numFmtId="3" fontId="5" fillId="0" borderId="21" xfId="0" applyNumberFormat="1" applyFont="1" applyFill="1" applyBorder="1"/>
    <xf numFmtId="10" fontId="30" fillId="0" borderId="9" xfId="0" applyNumberFormat="1" applyFont="1" applyFill="1" applyBorder="1"/>
    <xf numFmtId="0" fontId="5" fillId="94" borderId="14" xfId="0" applyFont="1" applyFill="1" applyBorder="1" applyAlignment="1">
      <alignment horizontal="center" wrapText="1"/>
    </xf>
    <xf numFmtId="0" fontId="58" fillId="95" borderId="17" xfId="0" applyFont="1" applyFill="1" applyBorder="1"/>
    <xf numFmtId="0" fontId="9" fillId="96" borderId="9" xfId="0" applyFont="1" applyFill="1" applyBorder="1"/>
    <xf numFmtId="3" fontId="77" fillId="0" borderId="9" xfId="0" applyNumberFormat="1" applyFont="1" applyFill="1" applyBorder="1"/>
    <xf numFmtId="0" fontId="77" fillId="12" borderId="9" xfId="0" applyFont="1" applyFill="1" applyBorder="1"/>
    <xf numFmtId="0" fontId="18" fillId="0" borderId="9" xfId="0" applyFont="1" applyBorder="1"/>
    <xf numFmtId="10" fontId="77" fillId="0" borderId="9" xfId="0" applyNumberFormat="1" applyFont="1" applyBorder="1"/>
    <xf numFmtId="3" fontId="5" fillId="0" borderId="18" xfId="0" applyNumberFormat="1" applyFont="1" applyFill="1" applyBorder="1"/>
    <xf numFmtId="3" fontId="22" fillId="0" borderId="18" xfId="0" applyNumberFormat="1" applyFont="1" applyFill="1" applyBorder="1"/>
    <xf numFmtId="0" fontId="77" fillId="59" borderId="9" xfId="0" applyFont="1" applyFill="1" applyBorder="1"/>
    <xf numFmtId="3" fontId="77" fillId="87" borderId="9" xfId="0" applyNumberFormat="1" applyFont="1" applyFill="1" applyBorder="1"/>
    <xf numFmtId="10" fontId="77" fillId="0" borderId="9" xfId="0" applyNumberFormat="1" applyFont="1" applyFill="1" applyBorder="1"/>
    <xf numFmtId="10" fontId="77" fillId="87" borderId="9" xfId="0" applyNumberFormat="1" applyFont="1" applyFill="1" applyBorder="1"/>
    <xf numFmtId="0" fontId="76" fillId="0" borderId="9" xfId="0" applyFont="1" applyBorder="1" applyAlignment="1">
      <alignment horizontal="center" wrapText="1"/>
    </xf>
    <xf numFmtId="0" fontId="76" fillId="41" borderId="9" xfId="0" applyFont="1" applyFill="1" applyBorder="1" applyAlignment="1">
      <alignment horizontal="center" wrapText="1"/>
    </xf>
    <xf numFmtId="0" fontId="92" fillId="0" borderId="9" xfId="0" applyFont="1" applyFill="1" applyBorder="1" applyAlignment="1"/>
    <xf numFmtId="0" fontId="92" fillId="0" borderId="0" xfId="0" applyFont="1" applyFill="1" applyAlignment="1"/>
    <xf numFmtId="3" fontId="18" fillId="0" borderId="9" xfId="0" applyNumberFormat="1" applyFont="1" applyFill="1" applyBorder="1"/>
    <xf numFmtId="3" fontId="18" fillId="0" borderId="9" xfId="0" applyNumberFormat="1" applyFont="1" applyBorder="1"/>
    <xf numFmtId="0" fontId="77" fillId="0" borderId="10" xfId="0" applyFont="1" applyBorder="1"/>
    <xf numFmtId="3" fontId="77" fillId="87" borderId="18" xfId="0" applyNumberFormat="1" applyFont="1" applyFill="1" applyBorder="1"/>
    <xf numFmtId="0" fontId="18" fillId="0" borderId="0" xfId="0" applyFont="1"/>
    <xf numFmtId="0" fontId="77" fillId="94" borderId="18" xfId="0" applyFont="1" applyFill="1" applyBorder="1" applyAlignment="1">
      <alignment horizontal="center" wrapText="1"/>
    </xf>
    <xf numFmtId="0" fontId="93" fillId="0" borderId="0" xfId="12" applyFont="1" applyAlignment="1"/>
    <xf numFmtId="0" fontId="95" fillId="0" borderId="0" xfId="12" applyFont="1" applyAlignment="1">
      <alignment vertical="center"/>
    </xf>
    <xf numFmtId="0" fontId="95" fillId="0" borderId="0" xfId="12" applyFont="1" applyAlignment="1">
      <alignment horizontal="left" vertical="center" indent="1"/>
    </xf>
    <xf numFmtId="0" fontId="98" fillId="0" borderId="0" xfId="12" applyFont="1" applyAlignment="1">
      <alignment vertical="center"/>
    </xf>
    <xf numFmtId="0" fontId="12" fillId="0" borderId="0" xfId="12" applyFont="1" applyAlignment="1">
      <alignment vertical="center"/>
    </xf>
    <xf numFmtId="0" fontId="98" fillId="0" borderId="0" xfId="12" applyFont="1" applyAlignment="1">
      <alignment horizontal="left" vertical="center" indent="1"/>
    </xf>
    <xf numFmtId="0" fontId="101" fillId="0" borderId="0" xfId="12" applyFont="1" applyAlignment="1">
      <alignment vertical="center"/>
    </xf>
    <xf numFmtId="0" fontId="98" fillId="0" borderId="0" xfId="12" applyFont="1" applyAlignment="1">
      <alignment horizontal="left" vertical="center" indent="4"/>
    </xf>
    <xf numFmtId="0" fontId="103" fillId="0" borderId="0" xfId="12" applyFont="1" applyAlignment="1">
      <alignment horizontal="left" vertical="center" indent="1"/>
    </xf>
    <xf numFmtId="0" fontId="101" fillId="0" borderId="0" xfId="12" applyFont="1" applyAlignment="1">
      <alignment horizontal="left" vertical="center" indent="1"/>
    </xf>
    <xf numFmtId="0" fontId="105" fillId="0" borderId="0" xfId="12" applyFont="1" applyAlignment="1">
      <alignment horizontal="left" vertical="center" indent="1"/>
    </xf>
    <xf numFmtId="0" fontId="103" fillId="0" borderId="0" xfId="12" applyFont="1" applyAlignment="1">
      <alignment vertical="center"/>
    </xf>
    <xf numFmtId="0" fontId="105" fillId="0" borderId="0" xfId="12" applyFont="1" applyAlignment="1">
      <alignment horizontal="left" vertical="center" indent="4"/>
    </xf>
    <xf numFmtId="3" fontId="93" fillId="0" borderId="0" xfId="12" applyNumberFormat="1" applyFont="1" applyAlignment="1"/>
    <xf numFmtId="0" fontId="12" fillId="0" borderId="0" xfId="12" applyFont="1" applyAlignment="1"/>
    <xf numFmtId="0" fontId="31" fillId="0" borderId="0" xfId="12" applyFont="1" applyAlignment="1"/>
    <xf numFmtId="0" fontId="111" fillId="0" borderId="0" xfId="13" applyAlignment="1"/>
    <xf numFmtId="0" fontId="112" fillId="41" borderId="9" xfId="0" applyFont="1" applyFill="1" applyBorder="1" applyAlignment="1">
      <alignment horizontal="center" wrapText="1"/>
    </xf>
    <xf numFmtId="0" fontId="84" fillId="66" borderId="9" xfId="0" applyFont="1" applyFill="1" applyBorder="1" applyAlignment="1">
      <alignment horizontal="center" wrapText="1"/>
    </xf>
    <xf numFmtId="0" fontId="21" fillId="60" borderId="14" xfId="0" applyFont="1" applyFill="1" applyBorder="1" applyAlignment="1"/>
    <xf numFmtId="0" fontId="11" fillId="60" borderId="19" xfId="0" applyFont="1" applyFill="1" applyBorder="1" applyAlignment="1">
      <alignment horizontal="left" wrapText="1"/>
    </xf>
    <xf numFmtId="1" fontId="11" fillId="62" borderId="17" xfId="0" applyNumberFormat="1" applyFont="1" applyFill="1" applyBorder="1" applyAlignment="1">
      <alignment horizontal="left" wrapText="1"/>
    </xf>
    <xf numFmtId="0" fontId="11" fillId="62" borderId="18" xfId="0" applyFont="1" applyFill="1" applyBorder="1" applyAlignment="1">
      <alignment horizontal="left" wrapText="1"/>
    </xf>
    <xf numFmtId="4" fontId="21" fillId="62" borderId="9" xfId="0" applyNumberFormat="1" applyFont="1" applyFill="1" applyBorder="1" applyAlignment="1">
      <alignment wrapText="1"/>
    </xf>
    <xf numFmtId="1" fontId="11" fillId="4" borderId="9" xfId="0" applyNumberFormat="1" applyFont="1" applyFill="1" applyBorder="1" applyAlignment="1">
      <alignment wrapText="1"/>
    </xf>
    <xf numFmtId="1" fontId="11" fillId="103" borderId="21" xfId="0" applyNumberFormat="1" applyFont="1" applyFill="1" applyBorder="1" applyAlignment="1">
      <alignment horizontal="right" wrapText="1"/>
    </xf>
    <xf numFmtId="3" fontId="11" fillId="62" borderId="17" xfId="0" applyNumberFormat="1" applyFont="1" applyFill="1" applyBorder="1" applyAlignment="1"/>
    <xf numFmtId="4" fontId="7" fillId="62" borderId="17" xfId="0" applyNumberFormat="1" applyFont="1" applyFill="1" applyBorder="1" applyAlignment="1">
      <alignment wrapText="1"/>
    </xf>
    <xf numFmtId="3" fontId="11" fillId="63" borderId="17" xfId="0" applyNumberFormat="1" applyFont="1" applyFill="1" applyBorder="1" applyAlignment="1"/>
    <xf numFmtId="0" fontId="68" fillId="0" borderId="17" xfId="0" applyFont="1" applyBorder="1"/>
    <xf numFmtId="3" fontId="33" fillId="38" borderId="18" xfId="0" applyNumberFormat="1" applyFont="1" applyFill="1" applyBorder="1" applyAlignment="1">
      <alignment horizontal="right" wrapText="1"/>
    </xf>
    <xf numFmtId="0" fontId="12" fillId="0" borderId="0" xfId="12" applyFont="1" applyFill="1" applyAlignment="1"/>
    <xf numFmtId="0" fontId="93" fillId="0" borderId="0" xfId="12" applyFont="1" applyFill="1" applyAlignment="1"/>
    <xf numFmtId="0" fontId="5" fillId="12" borderId="20" xfId="0" applyFont="1" applyFill="1" applyBorder="1" applyAlignment="1">
      <alignment horizontal="center" wrapText="1"/>
    </xf>
    <xf numFmtId="10" fontId="77" fillId="87" borderId="0" xfId="0" applyNumberFormat="1" applyFont="1" applyFill="1" applyBorder="1"/>
    <xf numFmtId="0" fontId="5" fillId="12" borderId="13" xfId="0" applyFont="1" applyFill="1" applyBorder="1" applyAlignment="1">
      <alignment horizontal="center" wrapText="1"/>
    </xf>
    <xf numFmtId="3" fontId="58" fillId="87" borderId="17" xfId="0" applyNumberFormat="1" applyFont="1" applyFill="1" applyBorder="1"/>
    <xf numFmtId="0" fontId="5" fillId="12" borderId="9" xfId="0" applyFont="1" applyFill="1" applyBorder="1" applyAlignment="1">
      <alignment horizontal="center" wrapText="1"/>
    </xf>
    <xf numFmtId="10" fontId="77" fillId="87" borderId="22" xfId="0" applyNumberFormat="1" applyFont="1" applyFill="1" applyBorder="1"/>
    <xf numFmtId="3" fontId="28" fillId="0" borderId="9" xfId="0" applyNumberFormat="1" applyFont="1" applyBorder="1"/>
    <xf numFmtId="0" fontId="94" fillId="0" borderId="0" xfId="12" applyFont="1" applyBorder="1" applyAlignment="1">
      <alignment horizontal="left" vertical="center"/>
    </xf>
    <xf numFmtId="0" fontId="25" fillId="22" borderId="10" xfId="0" applyFont="1" applyFill="1" applyBorder="1" applyAlignment="1">
      <alignment horizontal="center" wrapText="1"/>
    </xf>
    <xf numFmtId="0" fontId="25" fillId="22" borderId="11" xfId="0" applyFont="1" applyFill="1" applyBorder="1" applyAlignment="1">
      <alignment horizontal="center" wrapText="1"/>
    </xf>
    <xf numFmtId="0" fontId="25" fillId="22" borderId="12" xfId="0" applyFont="1" applyFill="1" applyBorder="1" applyAlignment="1">
      <alignment horizontal="center" wrapText="1"/>
    </xf>
    <xf numFmtId="0" fontId="88" fillId="67" borderId="9" xfId="0" applyFont="1" applyFill="1" applyBorder="1" applyAlignment="1">
      <alignment horizontal="left" vertical="center"/>
    </xf>
    <xf numFmtId="0" fontId="25" fillId="68" borderId="9" xfId="0" applyFont="1" applyFill="1" applyBorder="1" applyAlignment="1">
      <alignment horizontal="left" wrapText="1"/>
    </xf>
    <xf numFmtId="0" fontId="24" fillId="67" borderId="9" xfId="0" applyFont="1" applyFill="1" applyBorder="1" applyAlignment="1">
      <alignment horizontal="center" wrapText="1"/>
    </xf>
    <xf numFmtId="0" fontId="24" fillId="41" borderId="9" xfId="0" applyFont="1" applyFill="1" applyBorder="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54" fillId="41" borderId="9" xfId="0" applyFont="1" applyFill="1" applyBorder="1" applyAlignment="1">
      <alignment horizontal="center" wrapText="1"/>
    </xf>
    <xf numFmtId="0" fontId="23" fillId="0" borderId="9" xfId="0" applyFont="1" applyBorder="1" applyAlignment="1">
      <alignment horizontal="center" wrapText="1"/>
    </xf>
    <xf numFmtId="0" fontId="84" fillId="41" borderId="9" xfId="0" applyFont="1" applyFill="1" applyBorder="1" applyAlignment="1">
      <alignment horizontal="left" wrapText="1"/>
    </xf>
    <xf numFmtId="0" fontId="87" fillId="41" borderId="9" xfId="0" applyFont="1" applyFill="1" applyBorder="1" applyAlignment="1">
      <alignment horizontal="left" wrapText="1"/>
    </xf>
    <xf numFmtId="0" fontId="23" fillId="0" borderId="2" xfId="0" applyFont="1" applyBorder="1" applyAlignment="1">
      <alignment horizontal="center" wrapText="1"/>
    </xf>
    <xf numFmtId="0" fontId="25" fillId="66" borderId="9" xfId="0" applyFont="1" applyFill="1" applyBorder="1" applyAlignment="1">
      <alignment horizontal="left" wrapText="1"/>
    </xf>
    <xf numFmtId="0" fontId="25" fillId="41" borderId="9" xfId="0" applyFont="1" applyFill="1" applyBorder="1" applyAlignment="1">
      <alignment horizontal="left" wrapText="1"/>
    </xf>
    <xf numFmtId="0" fontId="5" fillId="7" borderId="10" xfId="0" applyFont="1" applyFill="1" applyBorder="1" applyAlignment="1">
      <alignment horizontal="center" wrapText="1"/>
    </xf>
    <xf numFmtId="0" fontId="5" fillId="7" borderId="11" xfId="0" applyFont="1" applyFill="1" applyBorder="1" applyAlignment="1">
      <alignment horizontal="center" wrapText="1"/>
    </xf>
    <xf numFmtId="0" fontId="5" fillId="7" borderId="12" xfId="0" applyFont="1" applyFill="1" applyBorder="1" applyAlignment="1">
      <alignment horizontal="center" wrapText="1"/>
    </xf>
    <xf numFmtId="0" fontId="18" fillId="0" borderId="10" xfId="0" applyFont="1" applyFill="1" applyBorder="1" applyAlignment="1">
      <alignment horizontal="center" wrapText="1"/>
    </xf>
    <xf numFmtId="0" fontId="18" fillId="0" borderId="11" xfId="0" applyFont="1" applyFill="1" applyBorder="1" applyAlignment="1">
      <alignment horizontal="center" wrapText="1"/>
    </xf>
    <xf numFmtId="0" fontId="18" fillId="0" borderId="12" xfId="0" applyFont="1" applyFill="1" applyBorder="1" applyAlignment="1">
      <alignment horizontal="center" wrapText="1"/>
    </xf>
    <xf numFmtId="0" fontId="31" fillId="41" borderId="9" xfId="0" applyFont="1" applyFill="1" applyBorder="1" applyAlignment="1">
      <alignment horizontal="left" wrapText="1"/>
    </xf>
    <xf numFmtId="0" fontId="84" fillId="41" borderId="9" xfId="0" applyFont="1" applyFill="1" applyBorder="1" applyAlignment="1">
      <alignment horizontal="center" wrapText="1"/>
    </xf>
    <xf numFmtId="0" fontId="87" fillId="66" borderId="10" xfId="0" applyFont="1" applyFill="1" applyBorder="1" applyAlignment="1">
      <alignment horizontal="left" wrapText="1"/>
    </xf>
    <xf numFmtId="0" fontId="87" fillId="66" borderId="11" xfId="0" applyFont="1" applyFill="1" applyBorder="1" applyAlignment="1">
      <alignment horizontal="left" wrapText="1"/>
    </xf>
    <xf numFmtId="0" fontId="87" fillId="66" borderId="12" xfId="0" applyFont="1" applyFill="1" applyBorder="1" applyAlignment="1">
      <alignment horizontal="left" wrapText="1"/>
    </xf>
    <xf numFmtId="0" fontId="31" fillId="41" borderId="9" xfId="0" applyFont="1" applyFill="1" applyBorder="1" applyAlignment="1">
      <alignment horizontal="left" vertical="center" wrapText="1"/>
    </xf>
    <xf numFmtId="0" fontId="18" fillId="35" borderId="10" xfId="0" applyFont="1" applyFill="1" applyBorder="1" applyAlignment="1">
      <alignment horizontal="center" wrapText="1"/>
    </xf>
    <xf numFmtId="0" fontId="18" fillId="35" borderId="11" xfId="0" applyFont="1" applyFill="1" applyBorder="1" applyAlignment="1">
      <alignment horizontal="center" wrapText="1"/>
    </xf>
    <xf numFmtId="0" fontId="18" fillId="35" borderId="12" xfId="0" applyFont="1" applyFill="1" applyBorder="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39" fillId="69" borderId="10" xfId="0" applyFont="1" applyFill="1" applyBorder="1" applyAlignment="1">
      <alignment horizontal="center" wrapText="1"/>
    </xf>
    <xf numFmtId="0" fontId="39" fillId="69" borderId="11" xfId="0" applyFont="1" applyFill="1" applyBorder="1" applyAlignment="1">
      <alignment horizontal="center" wrapText="1"/>
    </xf>
    <xf numFmtId="0" fontId="39" fillId="69" borderId="10" xfId="0" applyFont="1" applyFill="1" applyBorder="1" applyAlignment="1">
      <alignment horizontal="center"/>
    </xf>
    <xf numFmtId="0" fontId="39" fillId="69" borderId="11" xfId="0" applyFont="1" applyFill="1" applyBorder="1" applyAlignment="1">
      <alignment horizontal="center"/>
    </xf>
    <xf numFmtId="0" fontId="39" fillId="69" borderId="12" xfId="0" applyFont="1" applyFill="1" applyBorder="1" applyAlignment="1">
      <alignment horizontal="center"/>
    </xf>
    <xf numFmtId="0" fontId="50" fillId="41" borderId="9" xfId="0" applyFont="1" applyFill="1" applyBorder="1" applyAlignment="1">
      <alignment horizontal="center"/>
    </xf>
    <xf numFmtId="0" fontId="31" fillId="41" borderId="9" xfId="0"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65" fillId="0" borderId="10" xfId="0" applyFont="1" applyBorder="1" applyAlignment="1">
      <alignment horizontal="center"/>
    </xf>
    <xf numFmtId="0" fontId="65" fillId="0" borderId="11" xfId="0" applyFont="1" applyBorder="1" applyAlignment="1">
      <alignment horizontal="center"/>
    </xf>
    <xf numFmtId="0" fontId="65" fillId="0" borderId="12" xfId="0" applyFont="1" applyBorder="1" applyAlignment="1">
      <alignment horizontal="center"/>
    </xf>
    <xf numFmtId="0" fontId="31" fillId="67" borderId="9" xfId="0" applyFont="1" applyFill="1" applyBorder="1" applyAlignment="1">
      <alignment horizontal="left" vertical="center" wrapText="1"/>
    </xf>
    <xf numFmtId="0" fontId="50" fillId="67" borderId="10" xfId="0" applyFont="1" applyFill="1" applyBorder="1" applyAlignment="1">
      <alignment horizontal="center" vertical="center"/>
    </xf>
    <xf numFmtId="0" fontId="50" fillId="67" borderId="11" xfId="0" applyFont="1" applyFill="1" applyBorder="1" applyAlignment="1">
      <alignment horizontal="center" vertical="center"/>
    </xf>
    <xf numFmtId="0" fontId="41" fillId="41" borderId="10" xfId="0" applyFont="1" applyFill="1" applyBorder="1" applyAlignment="1">
      <alignment horizontal="left" wrapText="1"/>
    </xf>
    <xf numFmtId="0" fontId="41" fillId="41" borderId="11" xfId="0" applyFont="1" applyFill="1" applyBorder="1" applyAlignment="1">
      <alignment horizontal="left" wrapText="1"/>
    </xf>
    <xf numFmtId="0" fontId="41" fillId="41" borderId="12" xfId="0" applyFont="1" applyFill="1" applyBorder="1" applyAlignment="1">
      <alignment horizontal="left"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90" fillId="41" borderId="9" xfId="0" applyFont="1" applyFill="1" applyBorder="1" applyAlignment="1">
      <alignment horizontal="center"/>
    </xf>
    <xf numFmtId="0" fontId="90" fillId="41" borderId="9" xfId="0" applyFont="1" applyFill="1" applyBorder="1" applyAlignment="1">
      <alignment horizontal="left"/>
    </xf>
    <xf numFmtId="0" fontId="91" fillId="41" borderId="23" xfId="0" applyFont="1" applyFill="1" applyBorder="1" applyAlignment="1">
      <alignment horizontal="center" wrapText="1"/>
    </xf>
    <xf numFmtId="0" fontId="91" fillId="41" borderId="22" xfId="0" applyFont="1" applyFill="1" applyBorder="1" applyAlignment="1">
      <alignment horizontal="center" wrapText="1"/>
    </xf>
    <xf numFmtId="0" fontId="90" fillId="41" borderId="23" xfId="0" applyFont="1" applyFill="1" applyBorder="1" applyAlignment="1">
      <alignment horizontal="center" wrapText="1"/>
    </xf>
    <xf numFmtId="0" fontId="90" fillId="41" borderId="22" xfId="0" applyFont="1" applyFill="1" applyBorder="1" applyAlignment="1">
      <alignment horizontal="center" wrapText="1"/>
    </xf>
    <xf numFmtId="0" fontId="55" fillId="22" borderId="9" xfId="0" applyFont="1" applyFill="1" applyBorder="1" applyAlignment="1">
      <alignment horizontal="center" wrapText="1"/>
    </xf>
    <xf numFmtId="0" fontId="39" fillId="78" borderId="11" xfId="0" applyFont="1" applyFill="1" applyBorder="1" applyAlignment="1">
      <alignment horizontal="center" wrapText="1"/>
    </xf>
    <xf numFmtId="0" fontId="39" fillId="79" borderId="10" xfId="0" applyFont="1" applyFill="1" applyBorder="1" applyAlignment="1">
      <alignment horizontal="center" wrapText="1"/>
    </xf>
    <xf numFmtId="0" fontId="39" fillId="79" borderId="11" xfId="0" applyFont="1" applyFill="1" applyBorder="1" applyAlignment="1">
      <alignment horizontal="center" wrapText="1"/>
    </xf>
    <xf numFmtId="0" fontId="39" fillId="79" borderId="12" xfId="0" applyFont="1" applyFill="1" applyBorder="1" applyAlignment="1">
      <alignment horizontal="center" wrapText="1"/>
    </xf>
    <xf numFmtId="0" fontId="54" fillId="67" borderId="9" xfId="0" applyFont="1" applyFill="1" applyBorder="1" applyAlignment="1">
      <alignment horizontal="center" wrapText="1"/>
    </xf>
    <xf numFmtId="0" fontId="5" fillId="16" borderId="11" xfId="0" applyFont="1" applyFill="1" applyBorder="1" applyAlignment="1">
      <alignment horizontal="left" wrapText="1"/>
    </xf>
    <xf numFmtId="0" fontId="5" fillId="16" borderId="11" xfId="0" applyFont="1" applyFill="1" applyBorder="1" applyAlignment="1">
      <alignment horizontal="center" wrapText="1"/>
    </xf>
    <xf numFmtId="0" fontId="25" fillId="22" borderId="2" xfId="0" applyFont="1" applyFill="1" applyBorder="1" applyAlignment="1">
      <alignment horizontal="center" wrapText="1"/>
    </xf>
    <xf numFmtId="0" fontId="87" fillId="66" borderId="9" xfId="0" applyFont="1" applyFill="1" applyBorder="1" applyAlignment="1">
      <alignment horizontal="left" wrapText="1"/>
    </xf>
    <xf numFmtId="3" fontId="56" fillId="22" borderId="9" xfId="0" applyNumberFormat="1" applyFont="1" applyFill="1" applyBorder="1" applyAlignment="1">
      <alignment horizontal="center" wrapText="1"/>
    </xf>
    <xf numFmtId="0" fontId="54" fillId="41" borderId="9" xfId="0" applyFont="1" applyFill="1" applyBorder="1" applyAlignment="1">
      <alignment horizontal="center"/>
    </xf>
  </cellXfs>
  <cellStyles count="14">
    <cellStyle name="Comma" xfId="8" builtinId="3"/>
    <cellStyle name="Comma 2" xfId="9"/>
    <cellStyle name="Hyperlink 2" xfId="11"/>
    <cellStyle name="Hyperlink 3" xfId="10"/>
    <cellStyle name="Hyperlink 4" xfId="13"/>
    <cellStyle name="Normal" xfId="0" builtinId="0"/>
    <cellStyle name="Normal 10" xfId="3"/>
    <cellStyle name="Normal 2" xfId="2"/>
    <cellStyle name="Normal 3" xfId="6"/>
    <cellStyle name="Normal 4" xfId="12"/>
    <cellStyle name="Normal 5" xfId="7"/>
    <cellStyle name="Normal 6" xfId="1"/>
    <cellStyle name="Normal 7" xfId="4"/>
    <cellStyle name="Normal 9" xfId="5"/>
  </cellStyles>
  <dxfs count="0"/>
  <tableStyles count="0" defaultTableStyle="TableStyleMedium2" defaultPivotStyle="PivotStyleLight16"/>
  <colors>
    <mruColors>
      <color rgb="FFCCECFF"/>
      <color rgb="FFCCFFFF"/>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6</xdr:col>
      <xdr:colOff>247650</xdr:colOff>
      <xdr:row>64</xdr:row>
      <xdr:rowOff>0</xdr:rowOff>
    </xdr:to>
    <xdr:sp macro="" textlink="">
      <xdr:nvSpPr>
        <xdr:cNvPr id="2" name="AutoShape 4">
          <a:extLst>
            <a:ext uri="{FF2B5EF4-FFF2-40B4-BE49-F238E27FC236}">
              <a16:creationId xmlns:a16="http://schemas.microsoft.com/office/drawing/2014/main" id="{892F3EA4-95F7-47AF-968D-C315068D6A76}"/>
            </a:ext>
          </a:extLst>
        </xdr:cNvPr>
        <xdr:cNvSpPr>
          <a:spLocks noChangeArrowheads="1"/>
        </xdr:cNvSpPr>
      </xdr:nvSpPr>
      <xdr:spPr bwMode="auto">
        <a:xfrm>
          <a:off x="2270760" y="1295400"/>
          <a:ext cx="13559790" cy="776554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7</xdr:row>
      <xdr:rowOff>0</xdr:rowOff>
    </xdr:from>
    <xdr:to>
      <xdr:col>6</xdr:col>
      <xdr:colOff>247650</xdr:colOff>
      <xdr:row>64</xdr:row>
      <xdr:rowOff>0</xdr:rowOff>
    </xdr:to>
    <xdr:sp macro="" textlink="">
      <xdr:nvSpPr>
        <xdr:cNvPr id="3" name="AutoShape 4">
          <a:extLst>
            <a:ext uri="{FF2B5EF4-FFF2-40B4-BE49-F238E27FC236}">
              <a16:creationId xmlns:a16="http://schemas.microsoft.com/office/drawing/2014/main" id="{45F8EDBB-5103-492E-AEA6-5B9B89A2F37E}"/>
            </a:ext>
          </a:extLst>
        </xdr:cNvPr>
        <xdr:cNvSpPr>
          <a:spLocks noChangeArrowheads="1"/>
        </xdr:cNvSpPr>
      </xdr:nvSpPr>
      <xdr:spPr bwMode="auto">
        <a:xfrm>
          <a:off x="2270760" y="1295400"/>
          <a:ext cx="13559790" cy="776554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7</xdr:row>
      <xdr:rowOff>0</xdr:rowOff>
    </xdr:from>
    <xdr:to>
      <xdr:col>6</xdr:col>
      <xdr:colOff>247650</xdr:colOff>
      <xdr:row>64</xdr:row>
      <xdr:rowOff>0</xdr:rowOff>
    </xdr:to>
    <xdr:sp macro="" textlink="">
      <xdr:nvSpPr>
        <xdr:cNvPr id="4" name="AutoShape 4">
          <a:extLst>
            <a:ext uri="{FF2B5EF4-FFF2-40B4-BE49-F238E27FC236}">
              <a16:creationId xmlns:a16="http://schemas.microsoft.com/office/drawing/2014/main" id="{B79F8BEC-5A18-4898-8B22-CF10782B3989}"/>
            </a:ext>
          </a:extLst>
        </xdr:cNvPr>
        <xdr:cNvSpPr>
          <a:spLocks noChangeArrowheads="1"/>
        </xdr:cNvSpPr>
      </xdr:nvSpPr>
      <xdr:spPr bwMode="auto">
        <a:xfrm>
          <a:off x="2270760" y="1295400"/>
          <a:ext cx="13559790" cy="776554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7</xdr:row>
      <xdr:rowOff>0</xdr:rowOff>
    </xdr:from>
    <xdr:to>
      <xdr:col>6</xdr:col>
      <xdr:colOff>247650</xdr:colOff>
      <xdr:row>64</xdr:row>
      <xdr:rowOff>0</xdr:rowOff>
    </xdr:to>
    <xdr:sp macro="" textlink="">
      <xdr:nvSpPr>
        <xdr:cNvPr id="5" name="AutoShape 4">
          <a:extLst>
            <a:ext uri="{FF2B5EF4-FFF2-40B4-BE49-F238E27FC236}">
              <a16:creationId xmlns:a16="http://schemas.microsoft.com/office/drawing/2014/main" id="{50D04EDA-B70A-4237-B0A9-05F5CA951763}"/>
            </a:ext>
          </a:extLst>
        </xdr:cNvPr>
        <xdr:cNvSpPr>
          <a:spLocks noChangeArrowheads="1"/>
        </xdr:cNvSpPr>
      </xdr:nvSpPr>
      <xdr:spPr bwMode="auto">
        <a:xfrm>
          <a:off x="2270760" y="1295400"/>
          <a:ext cx="13559790" cy="776554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1047750</xdr:colOff>
      <xdr:row>38</xdr:row>
      <xdr:rowOff>0</xdr:rowOff>
    </xdr:to>
    <xdr:sp macro="" textlink="">
      <xdr:nvSpPr>
        <xdr:cNvPr id="2" name="AutoShape 5">
          <a:extLst>
            <a:ext uri="{FF2B5EF4-FFF2-40B4-BE49-F238E27FC236}">
              <a16:creationId xmlns:a16="http://schemas.microsoft.com/office/drawing/2014/main" id="{22B496FF-C048-4943-A941-FD98B49ED822}"/>
            </a:ext>
          </a:extLst>
        </xdr:cNvPr>
        <xdr:cNvSpPr>
          <a:spLocks noChangeArrowheads="1"/>
        </xdr:cNvSpPr>
      </xdr:nvSpPr>
      <xdr:spPr bwMode="auto">
        <a:xfrm>
          <a:off x="2019300" y="1143000"/>
          <a:ext cx="13750290" cy="21358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6</xdr:row>
      <xdr:rowOff>0</xdr:rowOff>
    </xdr:from>
    <xdr:to>
      <xdr:col>5</xdr:col>
      <xdr:colOff>1047750</xdr:colOff>
      <xdr:row>38</xdr:row>
      <xdr:rowOff>0</xdr:rowOff>
    </xdr:to>
    <xdr:sp macro="" textlink="">
      <xdr:nvSpPr>
        <xdr:cNvPr id="3" name="AutoShape 5">
          <a:extLst>
            <a:ext uri="{FF2B5EF4-FFF2-40B4-BE49-F238E27FC236}">
              <a16:creationId xmlns:a16="http://schemas.microsoft.com/office/drawing/2014/main" id="{840BA123-7286-4BF2-851B-15C3B9929DA4}"/>
            </a:ext>
          </a:extLst>
        </xdr:cNvPr>
        <xdr:cNvSpPr>
          <a:spLocks noChangeArrowheads="1"/>
        </xdr:cNvSpPr>
      </xdr:nvSpPr>
      <xdr:spPr bwMode="auto">
        <a:xfrm>
          <a:off x="2019300" y="1143000"/>
          <a:ext cx="13750290" cy="21358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6</xdr:row>
      <xdr:rowOff>0</xdr:rowOff>
    </xdr:from>
    <xdr:to>
      <xdr:col>5</xdr:col>
      <xdr:colOff>1047750</xdr:colOff>
      <xdr:row>38</xdr:row>
      <xdr:rowOff>0</xdr:rowOff>
    </xdr:to>
    <xdr:sp macro="" textlink="">
      <xdr:nvSpPr>
        <xdr:cNvPr id="4" name="AutoShape 5">
          <a:extLst>
            <a:ext uri="{FF2B5EF4-FFF2-40B4-BE49-F238E27FC236}">
              <a16:creationId xmlns:a16="http://schemas.microsoft.com/office/drawing/2014/main" id="{19593E34-C538-4682-9EB1-A5EA36A6D101}"/>
            </a:ext>
          </a:extLst>
        </xdr:cNvPr>
        <xdr:cNvSpPr>
          <a:spLocks noChangeArrowheads="1"/>
        </xdr:cNvSpPr>
      </xdr:nvSpPr>
      <xdr:spPr bwMode="auto">
        <a:xfrm>
          <a:off x="2019300" y="1143000"/>
          <a:ext cx="13750290" cy="21358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6</xdr:row>
      <xdr:rowOff>0</xdr:rowOff>
    </xdr:from>
    <xdr:to>
      <xdr:col>5</xdr:col>
      <xdr:colOff>1047750</xdr:colOff>
      <xdr:row>38</xdr:row>
      <xdr:rowOff>0</xdr:rowOff>
    </xdr:to>
    <xdr:sp macro="" textlink="">
      <xdr:nvSpPr>
        <xdr:cNvPr id="5" name="AutoShape 5">
          <a:extLst>
            <a:ext uri="{FF2B5EF4-FFF2-40B4-BE49-F238E27FC236}">
              <a16:creationId xmlns:a16="http://schemas.microsoft.com/office/drawing/2014/main" id="{56566524-ECDF-485E-B77F-A84336F95F2D}"/>
            </a:ext>
          </a:extLst>
        </xdr:cNvPr>
        <xdr:cNvSpPr>
          <a:spLocks noChangeArrowheads="1"/>
        </xdr:cNvSpPr>
      </xdr:nvSpPr>
      <xdr:spPr bwMode="auto">
        <a:xfrm>
          <a:off x="2019300" y="1143000"/>
          <a:ext cx="13750290" cy="2135886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10</xdr:col>
      <xdr:colOff>171450</xdr:colOff>
      <xdr:row>88</xdr:row>
      <xdr:rowOff>0</xdr:rowOff>
    </xdr:to>
    <xdr:sp macro="" textlink="">
      <xdr:nvSpPr>
        <xdr:cNvPr id="2" name="AutoShape 11">
          <a:extLst>
            <a:ext uri="{FF2B5EF4-FFF2-40B4-BE49-F238E27FC236}">
              <a16:creationId xmlns:a16="http://schemas.microsoft.com/office/drawing/2014/main" id="{BD94CD78-D0F6-44BB-8B8E-12C705C5B63C}"/>
            </a:ext>
          </a:extLst>
        </xdr:cNvPr>
        <xdr:cNvSpPr>
          <a:spLocks noChangeArrowheads="1"/>
        </xdr:cNvSpPr>
      </xdr:nvSpPr>
      <xdr:spPr bwMode="auto">
        <a:xfrm>
          <a:off x="1866900" y="1143000"/>
          <a:ext cx="21355050" cy="64830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6</xdr:row>
      <xdr:rowOff>0</xdr:rowOff>
    </xdr:from>
    <xdr:to>
      <xdr:col>10</xdr:col>
      <xdr:colOff>171450</xdr:colOff>
      <xdr:row>88</xdr:row>
      <xdr:rowOff>0</xdr:rowOff>
    </xdr:to>
    <xdr:sp macro="" textlink="">
      <xdr:nvSpPr>
        <xdr:cNvPr id="3" name="AutoShape 11">
          <a:extLst>
            <a:ext uri="{FF2B5EF4-FFF2-40B4-BE49-F238E27FC236}">
              <a16:creationId xmlns:a16="http://schemas.microsoft.com/office/drawing/2014/main" id="{3A608D50-659C-46F5-B262-3D1EF14D896A}"/>
            </a:ext>
          </a:extLst>
        </xdr:cNvPr>
        <xdr:cNvSpPr>
          <a:spLocks noChangeArrowheads="1"/>
        </xdr:cNvSpPr>
      </xdr:nvSpPr>
      <xdr:spPr bwMode="auto">
        <a:xfrm>
          <a:off x="1866900" y="1143000"/>
          <a:ext cx="21355050" cy="64830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6</xdr:row>
      <xdr:rowOff>0</xdr:rowOff>
    </xdr:from>
    <xdr:to>
      <xdr:col>10</xdr:col>
      <xdr:colOff>171450</xdr:colOff>
      <xdr:row>88</xdr:row>
      <xdr:rowOff>0</xdr:rowOff>
    </xdr:to>
    <xdr:sp macro="" textlink="">
      <xdr:nvSpPr>
        <xdr:cNvPr id="4" name="AutoShape 11">
          <a:extLst>
            <a:ext uri="{FF2B5EF4-FFF2-40B4-BE49-F238E27FC236}">
              <a16:creationId xmlns:a16="http://schemas.microsoft.com/office/drawing/2014/main" id="{E5584D15-9E5A-4E59-A416-05000D3952BF}"/>
            </a:ext>
          </a:extLst>
        </xdr:cNvPr>
        <xdr:cNvSpPr>
          <a:spLocks noChangeArrowheads="1"/>
        </xdr:cNvSpPr>
      </xdr:nvSpPr>
      <xdr:spPr bwMode="auto">
        <a:xfrm>
          <a:off x="1866900" y="1143000"/>
          <a:ext cx="21355050" cy="64830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6</xdr:row>
      <xdr:rowOff>0</xdr:rowOff>
    </xdr:from>
    <xdr:to>
      <xdr:col>10</xdr:col>
      <xdr:colOff>171450</xdr:colOff>
      <xdr:row>88</xdr:row>
      <xdr:rowOff>0</xdr:rowOff>
    </xdr:to>
    <xdr:sp macro="" textlink="">
      <xdr:nvSpPr>
        <xdr:cNvPr id="5" name="AutoShape 11">
          <a:extLst>
            <a:ext uri="{FF2B5EF4-FFF2-40B4-BE49-F238E27FC236}">
              <a16:creationId xmlns:a16="http://schemas.microsoft.com/office/drawing/2014/main" id="{B5B5BC9F-C5D2-41F5-910B-3C889E8B5228}"/>
            </a:ext>
          </a:extLst>
        </xdr:cNvPr>
        <xdr:cNvSpPr>
          <a:spLocks noChangeArrowheads="1"/>
        </xdr:cNvSpPr>
      </xdr:nvSpPr>
      <xdr:spPr bwMode="auto">
        <a:xfrm>
          <a:off x="1866900" y="1143000"/>
          <a:ext cx="21355050" cy="6483096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os/Desktop/Energy%20Vision/ANL%20database%20project/2018%20update/Complete%20database/RNG_Database_update_2018%2012.1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os/Desktop/Energy%20Vision/ANL%20database%20project/2017%20update/RNG_Database_11.17.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NG_Database_12.3.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ms &amp; Ag"/>
      <sheetName val="Food_Waste"/>
      <sheetName val="Landfills"/>
      <sheetName val="WWT"/>
      <sheetName val="Other_Waste_Treatment"/>
      <sheetName val="TOTALS"/>
      <sheetName val="List Values"/>
      <sheetName val="Notes"/>
      <sheetName val="Progress notes 2018"/>
      <sheetName val="OPERATIONAL PROJECTS LIST"/>
      <sheetName val="Contact Info"/>
    </sheetNames>
    <sheetDataSet>
      <sheetData sheetId="0">
        <row r="120">
          <cell r="F120">
            <v>10</v>
          </cell>
        </row>
      </sheetData>
      <sheetData sheetId="1">
        <row r="48">
          <cell r="F48">
            <v>7</v>
          </cell>
        </row>
      </sheetData>
      <sheetData sheetId="2">
        <row r="106">
          <cell r="E106">
            <v>43</v>
          </cell>
        </row>
      </sheetData>
      <sheetData sheetId="3">
        <row r="50">
          <cell r="E50">
            <v>9</v>
          </cell>
        </row>
      </sheetData>
      <sheetData sheetId="4">
        <row r="9">
          <cell r="C9">
            <v>0</v>
          </cell>
        </row>
        <row r="18">
          <cell r="C18">
            <v>0</v>
          </cell>
        </row>
        <row r="19">
          <cell r="C19">
            <v>0</v>
          </cell>
        </row>
        <row r="20">
          <cell r="C20">
            <v>0</v>
          </cell>
        </row>
        <row r="21">
          <cell r="C21">
            <v>0</v>
          </cell>
          <cell r="E21">
            <v>0</v>
          </cell>
        </row>
        <row r="22">
          <cell r="C22">
            <v>0</v>
          </cell>
          <cell r="E22">
            <v>0</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fills"/>
      <sheetName val="WWT"/>
      <sheetName val="Farms"/>
      <sheetName val="Food_Waste"/>
      <sheetName val="Other_Waste_Treatment"/>
      <sheetName val="Totals"/>
      <sheetName val="New Facilities"/>
      <sheetName val="Clean up"/>
      <sheetName val="OOS-WWT"/>
      <sheetName val="OOS-Landfills"/>
      <sheetName val="OOS-Farms"/>
      <sheetName val="OOS-Food Waste"/>
      <sheetName val="Canadian Projects"/>
      <sheetName val="Notes Aug. '17"/>
      <sheetName val="List Values"/>
      <sheetName val="Notes"/>
      <sheetName val="Operational Project List"/>
      <sheetName val="Contact Info"/>
      <sheetName val="Call 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fills"/>
      <sheetName val="Clean up"/>
      <sheetName val="WWT"/>
      <sheetName val="Farms"/>
      <sheetName val="Food_Waste"/>
      <sheetName val="Other_Waste_Treatment"/>
      <sheetName val="TOTALS"/>
      <sheetName val="OOS-WWT"/>
      <sheetName val="OOS-Landfills"/>
      <sheetName val="OOS-Farms"/>
      <sheetName val="OOS-Food Waste"/>
      <sheetName val="Canadian Projects"/>
      <sheetName val="List Values"/>
      <sheetName val="Notes"/>
      <sheetName val="Operational Project List"/>
      <sheetName val="Contact Info"/>
    </sheetNames>
    <sheetDataSet>
      <sheetData sheetId="0" refreshError="1"/>
      <sheetData sheetId="1" refreshError="1"/>
      <sheetData sheetId="2" refreshError="1"/>
      <sheetData sheetId="3" refreshError="1"/>
      <sheetData sheetId="4" refreshError="1"/>
      <sheetData sheetId="5" refreshError="1">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os@energy-vision.org" TargetMode="External"/><Relationship Id="rId1" Type="http://schemas.openxmlformats.org/officeDocument/2006/relationships/hyperlink" Target="mailto:mmintz@anl.go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ioohio.com/item/quasar-energy-group-llc-buckeye-biogas/" TargetMode="External"/><Relationship Id="rId2" Type="http://schemas.openxmlformats.org/officeDocument/2006/relationships/hyperlink" Target="http://www.capitalpress.com/SpecialSections/Dairy/20140609/dairy-farm-grows-with-the-family" TargetMode="External"/><Relationship Id="rId1" Type="http://schemas.openxmlformats.org/officeDocument/2006/relationships/hyperlink" Target="https://411.info/business/West-Point-Farm-Wendell-ID-11329171"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rb.ca.gov/fuels/lcfs/workgroups/lcfssustain/tisher.pdf" TargetMode="External"/><Relationship Id="rId2" Type="http://schemas.openxmlformats.org/officeDocument/2006/relationships/hyperlink" Target="http://www.americanbiogascouncil.org/projectprofiles/southsanfranciscoca.pdf" TargetMode="External"/><Relationship Id="rId1" Type="http://schemas.openxmlformats.org/officeDocument/2006/relationships/hyperlink" Target="http://www.northbaybusinessjournal.com/csp/mediapool/sites/NBBJ/IndustryNews/story.csp?cid=4179855&amp;sid=778&amp;fid=181"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www.co.kittitas.wa.us/%2Fuploads%2Fbocc%2Fmeeting-files%2Flease-at-ryegrass/2013-07-09-Michelle%20Adams.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montaukenergy.com/?portfolio=mccarty-road-landfill" TargetMode="External"/><Relationship Id="rId13" Type="http://schemas.openxmlformats.org/officeDocument/2006/relationships/hyperlink" Target="http://www.scsengineers.com/scs-press-release/scs-engineers-wins-city-of-san-diego-contracts-for-landfill-gas-system-operation-monitoring-and-maintenance-and-methaneghg-emissions/" TargetMode="External"/><Relationship Id="rId18" Type="http://schemas.openxmlformats.org/officeDocument/2006/relationships/hyperlink" Target="https://applications.deq.ok.gov/permitspublic/storedpermits/4199.pdf" TargetMode="External"/><Relationship Id="rId3" Type="http://schemas.openxmlformats.org/officeDocument/2006/relationships/hyperlink" Target="http://www.dleg.state.mi.us/mpsc/orders/gas/2016/u-18107_8-23-16.pdf" TargetMode="External"/><Relationship Id="rId21" Type="http://schemas.openxmlformats.org/officeDocument/2006/relationships/drawing" Target="../drawings/drawing3.xml"/><Relationship Id="rId7" Type="http://schemas.openxmlformats.org/officeDocument/2006/relationships/hyperlink" Target="https://www.longviewtexas.gov/2704/Pine-Hill-Landfill" TargetMode="External"/><Relationship Id="rId12" Type="http://schemas.openxmlformats.org/officeDocument/2006/relationships/hyperlink" Target="https://www.wmsolutions.com/pdf/factsheet/Simi_Valley_Landfill.pdf" TargetMode="External"/><Relationship Id="rId17" Type="http://schemas.openxmlformats.org/officeDocument/2006/relationships/hyperlink" Target="mailto:Q@%202017" TargetMode="External"/><Relationship Id="rId2" Type="http://schemas.openxmlformats.org/officeDocument/2006/relationships/hyperlink" Target="http://biocng.us/wp-content/uploads/2015/06/Riverview-Fact-Sheet-2015.pdf" TargetMode="External"/><Relationship Id="rId16" Type="http://schemas.openxmlformats.org/officeDocument/2006/relationships/hyperlink" Target="http://www.edf-re.com/project/imperial-landfill-biogas/" TargetMode="External"/><Relationship Id="rId20" Type="http://schemas.openxmlformats.org/officeDocument/2006/relationships/printerSettings" Target="../printerSettings/printerSettings4.bin"/><Relationship Id="rId1" Type="http://schemas.openxmlformats.org/officeDocument/2006/relationships/hyperlink" Target="http://www.lacsd.org/solidwaste/swfacilities/landfills/puente_hills/" TargetMode="External"/><Relationship Id="rId6" Type="http://schemas.openxmlformats.org/officeDocument/2006/relationships/hyperlink" Target="http://www.meadowbranchlandfill.com/" TargetMode="External"/><Relationship Id="rId11" Type="http://schemas.openxmlformats.org/officeDocument/2006/relationships/hyperlink" Target="http://www.omaha.com/news/metro/company-wants-to-refine-sell-methane-gas-at-old-state/article_4759dc06-602b-5aa1-84ea-878cd2bdd7ff.html." TargetMode="External"/><Relationship Id="rId5" Type="http://schemas.openxmlformats.org/officeDocument/2006/relationships/hyperlink" Target="https://dtepowerandindustrial.com/project/pinnacle-gas-producers/" TargetMode="External"/><Relationship Id="rId15" Type="http://schemas.openxmlformats.org/officeDocument/2006/relationships/hyperlink" Target="https://www.rumpke.com/docs/default-document-library/rslfactsheet.pdf" TargetMode="External"/><Relationship Id="rId10" Type="http://schemas.openxmlformats.org/officeDocument/2006/relationships/hyperlink" Target="http://www.wastedive.com/news/morrow-energy-steps-in-to-help-texas-city-get-wte-plant/406302/" TargetMode="External"/><Relationship Id="rId19" Type="http://schemas.openxmlformats.org/officeDocument/2006/relationships/hyperlink" Target="https://www.lynxresourcepartners.com/" TargetMode="External"/><Relationship Id="rId4" Type="http://schemas.openxmlformats.org/officeDocument/2006/relationships/hyperlink" Target="http://journalstar.com/news/state-and-regional/nebraska/butler-county-board-hears-support-opposition-to-landfill-expansion/article_aadc543f-34de-57e4-a675-bfce43cb16e0.html" TargetMode="External"/><Relationship Id="rId9" Type="http://schemas.openxmlformats.org/officeDocument/2006/relationships/hyperlink" Target="http://www.amtrib.com/news/20170131/company-plans-to-capture-methane-gas-at-melissa-landfill" TargetMode="External"/><Relationship Id="rId14" Type="http://schemas.openxmlformats.org/officeDocument/2006/relationships/hyperlink" Target="https://www.wmsolutions.com/locations/details/id/22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kingcounty.gov/depts/dnrp/wtd/system/south.aspx" TargetMode="External"/><Relationship Id="rId7" Type="http://schemas.openxmlformats.org/officeDocument/2006/relationships/printerSettings" Target="../printerSettings/printerSettings5.bin"/><Relationship Id="rId2" Type="http://schemas.openxmlformats.org/officeDocument/2006/relationships/hyperlink" Target="http://www.dunedingov.com/index.aspx?page=116" TargetMode="External"/><Relationship Id="rId1" Type="http://schemas.openxmlformats.org/officeDocument/2006/relationships/hyperlink" Target="http://www.gjcity.org/residents/persigo-wastewater-treatment-plant/" TargetMode="External"/><Relationship Id="rId6" Type="http://schemas.openxmlformats.org/officeDocument/2006/relationships/hyperlink" Target="http://www.abc12.com/home/headlines/Biogas-is-producing-electricity-at-Flint-waste-water-plant-338569892.html" TargetMode="External"/><Relationship Id="rId5" Type="http://schemas.openxmlformats.org/officeDocument/2006/relationships/hyperlink" Target="http://www.energy.ca.gov/2017publications/CEC-500-2017-004/CEC-500-2017-004.pdf;%20adding%20food%20waste%20and%20FOG%20at%20WWTP,%20but%20apparently%20electric%20only." TargetMode="External"/><Relationship Id="rId4" Type="http://schemas.openxmlformats.org/officeDocument/2006/relationships/hyperlink" Target="http://www.ci.janesville.wi.us/government/departments-divisions/public-works/wastewater-utility/wastewater-utility-faciliites-and-treatment-plan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hyperlink" Target="https://www.epa.gov/agstar/agstar-data-and-trends" TargetMode="External"/><Relationship Id="rId1" Type="http://schemas.openxmlformats.org/officeDocument/2006/relationships/hyperlink" Target="https://www.epa.gov/agst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10"/>
  <sheetViews>
    <sheetView topLeftCell="A77" workbookViewId="0">
      <selection activeCell="B106" sqref="B106"/>
    </sheetView>
  </sheetViews>
  <sheetFormatPr defaultRowHeight="15"/>
  <cols>
    <col min="1" max="6" width="9.140625" style="1585"/>
    <col min="7" max="7" width="10.140625" style="1585" bestFit="1" customWidth="1"/>
    <col min="8" max="8" width="10.5703125" style="1585" customWidth="1"/>
    <col min="9" max="10" width="10.140625" style="1585" customWidth="1"/>
    <col min="11" max="11" width="10.85546875" style="1585" customWidth="1"/>
    <col min="12" max="12" width="11" style="1585" customWidth="1"/>
    <col min="13" max="262" width="9.140625" style="1585"/>
    <col min="263" max="263" width="10.140625" style="1585" bestFit="1" customWidth="1"/>
    <col min="264" max="264" width="10.5703125" style="1585" customWidth="1"/>
    <col min="265" max="266" width="10.140625" style="1585" customWidth="1"/>
    <col min="267" max="267" width="10.85546875" style="1585" customWidth="1"/>
    <col min="268" max="268" width="11" style="1585" customWidth="1"/>
    <col min="269" max="518" width="9.140625" style="1585"/>
    <col min="519" max="519" width="10.140625" style="1585" bestFit="1" customWidth="1"/>
    <col min="520" max="520" width="10.5703125" style="1585" customWidth="1"/>
    <col min="521" max="522" width="10.140625" style="1585" customWidth="1"/>
    <col min="523" max="523" width="10.85546875" style="1585" customWidth="1"/>
    <col min="524" max="524" width="11" style="1585" customWidth="1"/>
    <col min="525" max="774" width="9.140625" style="1585"/>
    <col min="775" max="775" width="10.140625" style="1585" bestFit="1" customWidth="1"/>
    <col min="776" max="776" width="10.5703125" style="1585" customWidth="1"/>
    <col min="777" max="778" width="10.140625" style="1585" customWidth="1"/>
    <col min="779" max="779" width="10.85546875" style="1585" customWidth="1"/>
    <col min="780" max="780" width="11" style="1585" customWidth="1"/>
    <col min="781" max="1030" width="9.140625" style="1585"/>
    <col min="1031" max="1031" width="10.140625" style="1585" bestFit="1" customWidth="1"/>
    <col min="1032" max="1032" width="10.5703125" style="1585" customWidth="1"/>
    <col min="1033" max="1034" width="10.140625" style="1585" customWidth="1"/>
    <col min="1035" max="1035" width="10.85546875" style="1585" customWidth="1"/>
    <col min="1036" max="1036" width="11" style="1585" customWidth="1"/>
    <col min="1037" max="1286" width="9.140625" style="1585"/>
    <col min="1287" max="1287" width="10.140625" style="1585" bestFit="1" customWidth="1"/>
    <col min="1288" max="1288" width="10.5703125" style="1585" customWidth="1"/>
    <col min="1289" max="1290" width="10.140625" style="1585" customWidth="1"/>
    <col min="1291" max="1291" width="10.85546875" style="1585" customWidth="1"/>
    <col min="1292" max="1292" width="11" style="1585" customWidth="1"/>
    <col min="1293" max="1542" width="9.140625" style="1585"/>
    <col min="1543" max="1543" width="10.140625" style="1585" bestFit="1" customWidth="1"/>
    <col min="1544" max="1544" width="10.5703125" style="1585" customWidth="1"/>
    <col min="1545" max="1546" width="10.140625" style="1585" customWidth="1"/>
    <col min="1547" max="1547" width="10.85546875" style="1585" customWidth="1"/>
    <col min="1548" max="1548" width="11" style="1585" customWidth="1"/>
    <col min="1549" max="1798" width="9.140625" style="1585"/>
    <col min="1799" max="1799" width="10.140625" style="1585" bestFit="1" customWidth="1"/>
    <col min="1800" max="1800" width="10.5703125" style="1585" customWidth="1"/>
    <col min="1801" max="1802" width="10.140625" style="1585" customWidth="1"/>
    <col min="1803" max="1803" width="10.85546875" style="1585" customWidth="1"/>
    <col min="1804" max="1804" width="11" style="1585" customWidth="1"/>
    <col min="1805" max="2054" width="9.140625" style="1585"/>
    <col min="2055" max="2055" width="10.140625" style="1585" bestFit="1" customWidth="1"/>
    <col min="2056" max="2056" width="10.5703125" style="1585" customWidth="1"/>
    <col min="2057" max="2058" width="10.140625" style="1585" customWidth="1"/>
    <col min="2059" max="2059" width="10.85546875" style="1585" customWidth="1"/>
    <col min="2060" max="2060" width="11" style="1585" customWidth="1"/>
    <col min="2061" max="2310" width="9.140625" style="1585"/>
    <col min="2311" max="2311" width="10.140625" style="1585" bestFit="1" customWidth="1"/>
    <col min="2312" max="2312" width="10.5703125" style="1585" customWidth="1"/>
    <col min="2313" max="2314" width="10.140625" style="1585" customWidth="1"/>
    <col min="2315" max="2315" width="10.85546875" style="1585" customWidth="1"/>
    <col min="2316" max="2316" width="11" style="1585" customWidth="1"/>
    <col min="2317" max="2566" width="9.140625" style="1585"/>
    <col min="2567" max="2567" width="10.140625" style="1585" bestFit="1" customWidth="1"/>
    <col min="2568" max="2568" width="10.5703125" style="1585" customWidth="1"/>
    <col min="2569" max="2570" width="10.140625" style="1585" customWidth="1"/>
    <col min="2571" max="2571" width="10.85546875" style="1585" customWidth="1"/>
    <col min="2572" max="2572" width="11" style="1585" customWidth="1"/>
    <col min="2573" max="2822" width="9.140625" style="1585"/>
    <col min="2823" max="2823" width="10.140625" style="1585" bestFit="1" customWidth="1"/>
    <col min="2824" max="2824" width="10.5703125" style="1585" customWidth="1"/>
    <col min="2825" max="2826" width="10.140625" style="1585" customWidth="1"/>
    <col min="2827" max="2827" width="10.85546875" style="1585" customWidth="1"/>
    <col min="2828" max="2828" width="11" style="1585" customWidth="1"/>
    <col min="2829" max="3078" width="9.140625" style="1585"/>
    <col min="3079" max="3079" width="10.140625" style="1585" bestFit="1" customWidth="1"/>
    <col min="3080" max="3080" width="10.5703125" style="1585" customWidth="1"/>
    <col min="3081" max="3082" width="10.140625" style="1585" customWidth="1"/>
    <col min="3083" max="3083" width="10.85546875" style="1585" customWidth="1"/>
    <col min="3084" max="3084" width="11" style="1585" customWidth="1"/>
    <col min="3085" max="3334" width="9.140625" style="1585"/>
    <col min="3335" max="3335" width="10.140625" style="1585" bestFit="1" customWidth="1"/>
    <col min="3336" max="3336" width="10.5703125" style="1585" customWidth="1"/>
    <col min="3337" max="3338" width="10.140625" style="1585" customWidth="1"/>
    <col min="3339" max="3339" width="10.85546875" style="1585" customWidth="1"/>
    <col min="3340" max="3340" width="11" style="1585" customWidth="1"/>
    <col min="3341" max="3590" width="9.140625" style="1585"/>
    <col min="3591" max="3591" width="10.140625" style="1585" bestFit="1" customWidth="1"/>
    <col min="3592" max="3592" width="10.5703125" style="1585" customWidth="1"/>
    <col min="3593" max="3594" width="10.140625" style="1585" customWidth="1"/>
    <col min="3595" max="3595" width="10.85546875" style="1585" customWidth="1"/>
    <col min="3596" max="3596" width="11" style="1585" customWidth="1"/>
    <col min="3597" max="3846" width="9.140625" style="1585"/>
    <col min="3847" max="3847" width="10.140625" style="1585" bestFit="1" customWidth="1"/>
    <col min="3848" max="3848" width="10.5703125" style="1585" customWidth="1"/>
    <col min="3849" max="3850" width="10.140625" style="1585" customWidth="1"/>
    <col min="3851" max="3851" width="10.85546875" style="1585" customWidth="1"/>
    <col min="3852" max="3852" width="11" style="1585" customWidth="1"/>
    <col min="3853" max="4102" width="9.140625" style="1585"/>
    <col min="4103" max="4103" width="10.140625" style="1585" bestFit="1" customWidth="1"/>
    <col min="4104" max="4104" width="10.5703125" style="1585" customWidth="1"/>
    <col min="4105" max="4106" width="10.140625" style="1585" customWidth="1"/>
    <col min="4107" max="4107" width="10.85546875" style="1585" customWidth="1"/>
    <col min="4108" max="4108" width="11" style="1585" customWidth="1"/>
    <col min="4109" max="4358" width="9.140625" style="1585"/>
    <col min="4359" max="4359" width="10.140625" style="1585" bestFit="1" customWidth="1"/>
    <col min="4360" max="4360" width="10.5703125" style="1585" customWidth="1"/>
    <col min="4361" max="4362" width="10.140625" style="1585" customWidth="1"/>
    <col min="4363" max="4363" width="10.85546875" style="1585" customWidth="1"/>
    <col min="4364" max="4364" width="11" style="1585" customWidth="1"/>
    <col min="4365" max="4614" width="9.140625" style="1585"/>
    <col min="4615" max="4615" width="10.140625" style="1585" bestFit="1" customWidth="1"/>
    <col min="4616" max="4616" width="10.5703125" style="1585" customWidth="1"/>
    <col min="4617" max="4618" width="10.140625" style="1585" customWidth="1"/>
    <col min="4619" max="4619" width="10.85546875" style="1585" customWidth="1"/>
    <col min="4620" max="4620" width="11" style="1585" customWidth="1"/>
    <col min="4621" max="4870" width="9.140625" style="1585"/>
    <col min="4871" max="4871" width="10.140625" style="1585" bestFit="1" customWidth="1"/>
    <col min="4872" max="4872" width="10.5703125" style="1585" customWidth="1"/>
    <col min="4873" max="4874" width="10.140625" style="1585" customWidth="1"/>
    <col min="4875" max="4875" width="10.85546875" style="1585" customWidth="1"/>
    <col min="4876" max="4876" width="11" style="1585" customWidth="1"/>
    <col min="4877" max="5126" width="9.140625" style="1585"/>
    <col min="5127" max="5127" width="10.140625" style="1585" bestFit="1" customWidth="1"/>
    <col min="5128" max="5128" width="10.5703125" style="1585" customWidth="1"/>
    <col min="5129" max="5130" width="10.140625" style="1585" customWidth="1"/>
    <col min="5131" max="5131" width="10.85546875" style="1585" customWidth="1"/>
    <col min="5132" max="5132" width="11" style="1585" customWidth="1"/>
    <col min="5133" max="5382" width="9.140625" style="1585"/>
    <col min="5383" max="5383" width="10.140625" style="1585" bestFit="1" customWidth="1"/>
    <col min="5384" max="5384" width="10.5703125" style="1585" customWidth="1"/>
    <col min="5385" max="5386" width="10.140625" style="1585" customWidth="1"/>
    <col min="5387" max="5387" width="10.85546875" style="1585" customWidth="1"/>
    <col min="5388" max="5388" width="11" style="1585" customWidth="1"/>
    <col min="5389" max="5638" width="9.140625" style="1585"/>
    <col min="5639" max="5639" width="10.140625" style="1585" bestFit="1" customWidth="1"/>
    <col min="5640" max="5640" width="10.5703125" style="1585" customWidth="1"/>
    <col min="5641" max="5642" width="10.140625" style="1585" customWidth="1"/>
    <col min="5643" max="5643" width="10.85546875" style="1585" customWidth="1"/>
    <col min="5644" max="5644" width="11" style="1585" customWidth="1"/>
    <col min="5645" max="5894" width="9.140625" style="1585"/>
    <col min="5895" max="5895" width="10.140625" style="1585" bestFit="1" customWidth="1"/>
    <col min="5896" max="5896" width="10.5703125" style="1585" customWidth="1"/>
    <col min="5897" max="5898" width="10.140625" style="1585" customWidth="1"/>
    <col min="5899" max="5899" width="10.85546875" style="1585" customWidth="1"/>
    <col min="5900" max="5900" width="11" style="1585" customWidth="1"/>
    <col min="5901" max="6150" width="9.140625" style="1585"/>
    <col min="6151" max="6151" width="10.140625" style="1585" bestFit="1" customWidth="1"/>
    <col min="6152" max="6152" width="10.5703125" style="1585" customWidth="1"/>
    <col min="6153" max="6154" width="10.140625" style="1585" customWidth="1"/>
    <col min="6155" max="6155" width="10.85546875" style="1585" customWidth="1"/>
    <col min="6156" max="6156" width="11" style="1585" customWidth="1"/>
    <col min="6157" max="6406" width="9.140625" style="1585"/>
    <col min="6407" max="6407" width="10.140625" style="1585" bestFit="1" customWidth="1"/>
    <col min="6408" max="6408" width="10.5703125" style="1585" customWidth="1"/>
    <col min="6409" max="6410" width="10.140625" style="1585" customWidth="1"/>
    <col min="6411" max="6411" width="10.85546875" style="1585" customWidth="1"/>
    <col min="6412" max="6412" width="11" style="1585" customWidth="1"/>
    <col min="6413" max="6662" width="9.140625" style="1585"/>
    <col min="6663" max="6663" width="10.140625" style="1585" bestFit="1" customWidth="1"/>
    <col min="6664" max="6664" width="10.5703125" style="1585" customWidth="1"/>
    <col min="6665" max="6666" width="10.140625" style="1585" customWidth="1"/>
    <col min="6667" max="6667" width="10.85546875" style="1585" customWidth="1"/>
    <col min="6668" max="6668" width="11" style="1585" customWidth="1"/>
    <col min="6669" max="6918" width="9.140625" style="1585"/>
    <col min="6919" max="6919" width="10.140625" style="1585" bestFit="1" customWidth="1"/>
    <col min="6920" max="6920" width="10.5703125" style="1585" customWidth="1"/>
    <col min="6921" max="6922" width="10.140625" style="1585" customWidth="1"/>
    <col min="6923" max="6923" width="10.85546875" style="1585" customWidth="1"/>
    <col min="6924" max="6924" width="11" style="1585" customWidth="1"/>
    <col min="6925" max="7174" width="9.140625" style="1585"/>
    <col min="7175" max="7175" width="10.140625" style="1585" bestFit="1" customWidth="1"/>
    <col min="7176" max="7176" width="10.5703125" style="1585" customWidth="1"/>
    <col min="7177" max="7178" width="10.140625" style="1585" customWidth="1"/>
    <col min="7179" max="7179" width="10.85546875" style="1585" customWidth="1"/>
    <col min="7180" max="7180" width="11" style="1585" customWidth="1"/>
    <col min="7181" max="7430" width="9.140625" style="1585"/>
    <col min="7431" max="7431" width="10.140625" style="1585" bestFit="1" customWidth="1"/>
    <col min="7432" max="7432" width="10.5703125" style="1585" customWidth="1"/>
    <col min="7433" max="7434" width="10.140625" style="1585" customWidth="1"/>
    <col min="7435" max="7435" width="10.85546875" style="1585" customWidth="1"/>
    <col min="7436" max="7436" width="11" style="1585" customWidth="1"/>
    <col min="7437" max="7686" width="9.140625" style="1585"/>
    <col min="7687" max="7687" width="10.140625" style="1585" bestFit="1" customWidth="1"/>
    <col min="7688" max="7688" width="10.5703125" style="1585" customWidth="1"/>
    <col min="7689" max="7690" width="10.140625" style="1585" customWidth="1"/>
    <col min="7691" max="7691" width="10.85546875" style="1585" customWidth="1"/>
    <col min="7692" max="7692" width="11" style="1585" customWidth="1"/>
    <col min="7693" max="7942" width="9.140625" style="1585"/>
    <col min="7943" max="7943" width="10.140625" style="1585" bestFit="1" customWidth="1"/>
    <col min="7944" max="7944" width="10.5703125" style="1585" customWidth="1"/>
    <col min="7945" max="7946" width="10.140625" style="1585" customWidth="1"/>
    <col min="7947" max="7947" width="10.85546875" style="1585" customWidth="1"/>
    <col min="7948" max="7948" width="11" style="1585" customWidth="1"/>
    <col min="7949" max="8198" width="9.140625" style="1585"/>
    <col min="8199" max="8199" width="10.140625" style="1585" bestFit="1" customWidth="1"/>
    <col min="8200" max="8200" width="10.5703125" style="1585" customWidth="1"/>
    <col min="8201" max="8202" width="10.140625" style="1585" customWidth="1"/>
    <col min="8203" max="8203" width="10.85546875" style="1585" customWidth="1"/>
    <col min="8204" max="8204" width="11" style="1585" customWidth="1"/>
    <col min="8205" max="8454" width="9.140625" style="1585"/>
    <col min="8455" max="8455" width="10.140625" style="1585" bestFit="1" customWidth="1"/>
    <col min="8456" max="8456" width="10.5703125" style="1585" customWidth="1"/>
    <col min="8457" max="8458" width="10.140625" style="1585" customWidth="1"/>
    <col min="8459" max="8459" width="10.85546875" style="1585" customWidth="1"/>
    <col min="8460" max="8460" width="11" style="1585" customWidth="1"/>
    <col min="8461" max="8710" width="9.140625" style="1585"/>
    <col min="8711" max="8711" width="10.140625" style="1585" bestFit="1" customWidth="1"/>
    <col min="8712" max="8712" width="10.5703125" style="1585" customWidth="1"/>
    <col min="8713" max="8714" width="10.140625" style="1585" customWidth="1"/>
    <col min="8715" max="8715" width="10.85546875" style="1585" customWidth="1"/>
    <col min="8716" max="8716" width="11" style="1585" customWidth="1"/>
    <col min="8717" max="8966" width="9.140625" style="1585"/>
    <col min="8967" max="8967" width="10.140625" style="1585" bestFit="1" customWidth="1"/>
    <col min="8968" max="8968" width="10.5703125" style="1585" customWidth="1"/>
    <col min="8969" max="8970" width="10.140625" style="1585" customWidth="1"/>
    <col min="8971" max="8971" width="10.85546875" style="1585" customWidth="1"/>
    <col min="8972" max="8972" width="11" style="1585" customWidth="1"/>
    <col min="8973" max="9222" width="9.140625" style="1585"/>
    <col min="9223" max="9223" width="10.140625" style="1585" bestFit="1" customWidth="1"/>
    <col min="9224" max="9224" width="10.5703125" style="1585" customWidth="1"/>
    <col min="9225" max="9226" width="10.140625" style="1585" customWidth="1"/>
    <col min="9227" max="9227" width="10.85546875" style="1585" customWidth="1"/>
    <col min="9228" max="9228" width="11" style="1585" customWidth="1"/>
    <col min="9229" max="9478" width="9.140625" style="1585"/>
    <col min="9479" max="9479" width="10.140625" style="1585" bestFit="1" customWidth="1"/>
    <col min="9480" max="9480" width="10.5703125" style="1585" customWidth="1"/>
    <col min="9481" max="9482" width="10.140625" style="1585" customWidth="1"/>
    <col min="9483" max="9483" width="10.85546875" style="1585" customWidth="1"/>
    <col min="9484" max="9484" width="11" style="1585" customWidth="1"/>
    <col min="9485" max="9734" width="9.140625" style="1585"/>
    <col min="9735" max="9735" width="10.140625" style="1585" bestFit="1" customWidth="1"/>
    <col min="9736" max="9736" width="10.5703125" style="1585" customWidth="1"/>
    <col min="9737" max="9738" width="10.140625" style="1585" customWidth="1"/>
    <col min="9739" max="9739" width="10.85546875" style="1585" customWidth="1"/>
    <col min="9740" max="9740" width="11" style="1585" customWidth="1"/>
    <col min="9741" max="9990" width="9.140625" style="1585"/>
    <col min="9991" max="9991" width="10.140625" style="1585" bestFit="1" customWidth="1"/>
    <col min="9992" max="9992" width="10.5703125" style="1585" customWidth="1"/>
    <col min="9993" max="9994" width="10.140625" style="1585" customWidth="1"/>
    <col min="9995" max="9995" width="10.85546875" style="1585" customWidth="1"/>
    <col min="9996" max="9996" width="11" style="1585" customWidth="1"/>
    <col min="9997" max="10246" width="9.140625" style="1585"/>
    <col min="10247" max="10247" width="10.140625" style="1585" bestFit="1" customWidth="1"/>
    <col min="10248" max="10248" width="10.5703125" style="1585" customWidth="1"/>
    <col min="10249" max="10250" width="10.140625" style="1585" customWidth="1"/>
    <col min="10251" max="10251" width="10.85546875" style="1585" customWidth="1"/>
    <col min="10252" max="10252" width="11" style="1585" customWidth="1"/>
    <col min="10253" max="10502" width="9.140625" style="1585"/>
    <col min="10503" max="10503" width="10.140625" style="1585" bestFit="1" customWidth="1"/>
    <col min="10504" max="10504" width="10.5703125" style="1585" customWidth="1"/>
    <col min="10505" max="10506" width="10.140625" style="1585" customWidth="1"/>
    <col min="10507" max="10507" width="10.85546875" style="1585" customWidth="1"/>
    <col min="10508" max="10508" width="11" style="1585" customWidth="1"/>
    <col min="10509" max="10758" width="9.140625" style="1585"/>
    <col min="10759" max="10759" width="10.140625" style="1585" bestFit="1" customWidth="1"/>
    <col min="10760" max="10760" width="10.5703125" style="1585" customWidth="1"/>
    <col min="10761" max="10762" width="10.140625" style="1585" customWidth="1"/>
    <col min="10763" max="10763" width="10.85546875" style="1585" customWidth="1"/>
    <col min="10764" max="10764" width="11" style="1585" customWidth="1"/>
    <col min="10765" max="11014" width="9.140625" style="1585"/>
    <col min="11015" max="11015" width="10.140625" style="1585" bestFit="1" customWidth="1"/>
    <col min="11016" max="11016" width="10.5703125" style="1585" customWidth="1"/>
    <col min="11017" max="11018" width="10.140625" style="1585" customWidth="1"/>
    <col min="11019" max="11019" width="10.85546875" style="1585" customWidth="1"/>
    <col min="11020" max="11020" width="11" style="1585" customWidth="1"/>
    <col min="11021" max="11270" width="9.140625" style="1585"/>
    <col min="11271" max="11271" width="10.140625" style="1585" bestFit="1" customWidth="1"/>
    <col min="11272" max="11272" width="10.5703125" style="1585" customWidth="1"/>
    <col min="11273" max="11274" width="10.140625" style="1585" customWidth="1"/>
    <col min="11275" max="11275" width="10.85546875" style="1585" customWidth="1"/>
    <col min="11276" max="11276" width="11" style="1585" customWidth="1"/>
    <col min="11277" max="11526" width="9.140625" style="1585"/>
    <col min="11527" max="11527" width="10.140625" style="1585" bestFit="1" customWidth="1"/>
    <col min="11528" max="11528" width="10.5703125" style="1585" customWidth="1"/>
    <col min="11529" max="11530" width="10.140625" style="1585" customWidth="1"/>
    <col min="11531" max="11531" width="10.85546875" style="1585" customWidth="1"/>
    <col min="11532" max="11532" width="11" style="1585" customWidth="1"/>
    <col min="11533" max="11782" width="9.140625" style="1585"/>
    <col min="11783" max="11783" width="10.140625" style="1585" bestFit="1" customWidth="1"/>
    <col min="11784" max="11784" width="10.5703125" style="1585" customWidth="1"/>
    <col min="11785" max="11786" width="10.140625" style="1585" customWidth="1"/>
    <col min="11787" max="11787" width="10.85546875" style="1585" customWidth="1"/>
    <col min="11788" max="11788" width="11" style="1585" customWidth="1"/>
    <col min="11789" max="12038" width="9.140625" style="1585"/>
    <col min="12039" max="12039" width="10.140625" style="1585" bestFit="1" customWidth="1"/>
    <col min="12040" max="12040" width="10.5703125" style="1585" customWidth="1"/>
    <col min="12041" max="12042" width="10.140625" style="1585" customWidth="1"/>
    <col min="12043" max="12043" width="10.85546875" style="1585" customWidth="1"/>
    <col min="12044" max="12044" width="11" style="1585" customWidth="1"/>
    <col min="12045" max="12294" width="9.140625" style="1585"/>
    <col min="12295" max="12295" width="10.140625" style="1585" bestFit="1" customWidth="1"/>
    <col min="12296" max="12296" width="10.5703125" style="1585" customWidth="1"/>
    <col min="12297" max="12298" width="10.140625" style="1585" customWidth="1"/>
    <col min="12299" max="12299" width="10.85546875" style="1585" customWidth="1"/>
    <col min="12300" max="12300" width="11" style="1585" customWidth="1"/>
    <col min="12301" max="12550" width="9.140625" style="1585"/>
    <col min="12551" max="12551" width="10.140625" style="1585" bestFit="1" customWidth="1"/>
    <col min="12552" max="12552" width="10.5703125" style="1585" customWidth="1"/>
    <col min="12553" max="12554" width="10.140625" style="1585" customWidth="1"/>
    <col min="12555" max="12555" width="10.85546875" style="1585" customWidth="1"/>
    <col min="12556" max="12556" width="11" style="1585" customWidth="1"/>
    <col min="12557" max="12806" width="9.140625" style="1585"/>
    <col min="12807" max="12807" width="10.140625" style="1585" bestFit="1" customWidth="1"/>
    <col min="12808" max="12808" width="10.5703125" style="1585" customWidth="1"/>
    <col min="12809" max="12810" width="10.140625" style="1585" customWidth="1"/>
    <col min="12811" max="12811" width="10.85546875" style="1585" customWidth="1"/>
    <col min="12812" max="12812" width="11" style="1585" customWidth="1"/>
    <col min="12813" max="13062" width="9.140625" style="1585"/>
    <col min="13063" max="13063" width="10.140625" style="1585" bestFit="1" customWidth="1"/>
    <col min="13064" max="13064" width="10.5703125" style="1585" customWidth="1"/>
    <col min="13065" max="13066" width="10.140625" style="1585" customWidth="1"/>
    <col min="13067" max="13067" width="10.85546875" style="1585" customWidth="1"/>
    <col min="13068" max="13068" width="11" style="1585" customWidth="1"/>
    <col min="13069" max="13318" width="9.140625" style="1585"/>
    <col min="13319" max="13319" width="10.140625" style="1585" bestFit="1" customWidth="1"/>
    <col min="13320" max="13320" width="10.5703125" style="1585" customWidth="1"/>
    <col min="13321" max="13322" width="10.140625" style="1585" customWidth="1"/>
    <col min="13323" max="13323" width="10.85546875" style="1585" customWidth="1"/>
    <col min="13324" max="13324" width="11" style="1585" customWidth="1"/>
    <col min="13325" max="13574" width="9.140625" style="1585"/>
    <col min="13575" max="13575" width="10.140625" style="1585" bestFit="1" customWidth="1"/>
    <col min="13576" max="13576" width="10.5703125" style="1585" customWidth="1"/>
    <col min="13577" max="13578" width="10.140625" style="1585" customWidth="1"/>
    <col min="13579" max="13579" width="10.85546875" style="1585" customWidth="1"/>
    <col min="13580" max="13580" width="11" style="1585" customWidth="1"/>
    <col min="13581" max="13830" width="9.140625" style="1585"/>
    <col min="13831" max="13831" width="10.140625" style="1585" bestFit="1" customWidth="1"/>
    <col min="13832" max="13832" width="10.5703125" style="1585" customWidth="1"/>
    <col min="13833" max="13834" width="10.140625" style="1585" customWidth="1"/>
    <col min="13835" max="13835" width="10.85546875" style="1585" customWidth="1"/>
    <col min="13836" max="13836" width="11" style="1585" customWidth="1"/>
    <col min="13837" max="14086" width="9.140625" style="1585"/>
    <col min="14087" max="14087" width="10.140625" style="1585" bestFit="1" customWidth="1"/>
    <col min="14088" max="14088" width="10.5703125" style="1585" customWidth="1"/>
    <col min="14089" max="14090" width="10.140625" style="1585" customWidth="1"/>
    <col min="14091" max="14091" width="10.85546875" style="1585" customWidth="1"/>
    <col min="14092" max="14092" width="11" style="1585" customWidth="1"/>
    <col min="14093" max="14342" width="9.140625" style="1585"/>
    <col min="14343" max="14343" width="10.140625" style="1585" bestFit="1" customWidth="1"/>
    <col min="14344" max="14344" width="10.5703125" style="1585" customWidth="1"/>
    <col min="14345" max="14346" width="10.140625" style="1585" customWidth="1"/>
    <col min="14347" max="14347" width="10.85546875" style="1585" customWidth="1"/>
    <col min="14348" max="14348" width="11" style="1585" customWidth="1"/>
    <col min="14349" max="14598" width="9.140625" style="1585"/>
    <col min="14599" max="14599" width="10.140625" style="1585" bestFit="1" customWidth="1"/>
    <col min="14600" max="14600" width="10.5703125" style="1585" customWidth="1"/>
    <col min="14601" max="14602" width="10.140625" style="1585" customWidth="1"/>
    <col min="14603" max="14603" width="10.85546875" style="1585" customWidth="1"/>
    <col min="14604" max="14604" width="11" style="1585" customWidth="1"/>
    <col min="14605" max="14854" width="9.140625" style="1585"/>
    <col min="14855" max="14855" width="10.140625" style="1585" bestFit="1" customWidth="1"/>
    <col min="14856" max="14856" width="10.5703125" style="1585" customWidth="1"/>
    <col min="14857" max="14858" width="10.140625" style="1585" customWidth="1"/>
    <col min="14859" max="14859" width="10.85546875" style="1585" customWidth="1"/>
    <col min="14860" max="14860" width="11" style="1585" customWidth="1"/>
    <col min="14861" max="15110" width="9.140625" style="1585"/>
    <col min="15111" max="15111" width="10.140625" style="1585" bestFit="1" customWidth="1"/>
    <col min="15112" max="15112" width="10.5703125" style="1585" customWidth="1"/>
    <col min="15113" max="15114" width="10.140625" style="1585" customWidth="1"/>
    <col min="15115" max="15115" width="10.85546875" style="1585" customWidth="1"/>
    <col min="15116" max="15116" width="11" style="1585" customWidth="1"/>
    <col min="15117" max="15366" width="9.140625" style="1585"/>
    <col min="15367" max="15367" width="10.140625" style="1585" bestFit="1" customWidth="1"/>
    <col min="15368" max="15368" width="10.5703125" style="1585" customWidth="1"/>
    <col min="15369" max="15370" width="10.140625" style="1585" customWidth="1"/>
    <col min="15371" max="15371" width="10.85546875" style="1585" customWidth="1"/>
    <col min="15372" max="15372" width="11" style="1585" customWidth="1"/>
    <col min="15373" max="15622" width="9.140625" style="1585"/>
    <col min="15623" max="15623" width="10.140625" style="1585" bestFit="1" customWidth="1"/>
    <col min="15624" max="15624" width="10.5703125" style="1585" customWidth="1"/>
    <col min="15625" max="15626" width="10.140625" style="1585" customWidth="1"/>
    <col min="15627" max="15627" width="10.85546875" style="1585" customWidth="1"/>
    <col min="15628" max="15628" width="11" style="1585" customWidth="1"/>
    <col min="15629" max="15878" width="9.140625" style="1585"/>
    <col min="15879" max="15879" width="10.140625" style="1585" bestFit="1" customWidth="1"/>
    <col min="15880" max="15880" width="10.5703125" style="1585" customWidth="1"/>
    <col min="15881" max="15882" width="10.140625" style="1585" customWidth="1"/>
    <col min="15883" max="15883" width="10.85546875" style="1585" customWidth="1"/>
    <col min="15884" max="15884" width="11" style="1585" customWidth="1"/>
    <col min="15885" max="16134" width="9.140625" style="1585"/>
    <col min="16135" max="16135" width="10.140625" style="1585" bestFit="1" customWidth="1"/>
    <col min="16136" max="16136" width="10.5703125" style="1585" customWidth="1"/>
    <col min="16137" max="16138" width="10.140625" style="1585" customWidth="1"/>
    <col min="16139" max="16139" width="10.85546875" style="1585" customWidth="1"/>
    <col min="16140" max="16140" width="11" style="1585" customWidth="1"/>
    <col min="16141" max="16384" width="9.140625" style="1585"/>
  </cols>
  <sheetData>
    <row r="2" spans="2:19" ht="15" customHeight="1"/>
    <row r="3" spans="2:19" ht="17.25">
      <c r="B3" s="1625" t="s">
        <v>1582</v>
      </c>
      <c r="C3" s="1625"/>
      <c r="D3" s="1625"/>
      <c r="E3" s="1625"/>
      <c r="F3" s="1625"/>
      <c r="G3" s="1625"/>
      <c r="H3" s="1625"/>
      <c r="I3" s="1625"/>
      <c r="J3" s="1625"/>
      <c r="K3" s="1625"/>
      <c r="L3" s="1625"/>
      <c r="M3" s="1625"/>
      <c r="N3" s="1625"/>
      <c r="O3" s="1625"/>
      <c r="P3" s="1625"/>
      <c r="Q3" s="1625"/>
      <c r="R3" s="1625"/>
      <c r="S3" s="1625"/>
    </row>
    <row r="4" spans="2:19">
      <c r="B4" s="1586"/>
    </row>
    <row r="5" spans="2:19">
      <c r="B5" s="1587" t="s">
        <v>1583</v>
      </c>
    </row>
    <row r="6" spans="2:19">
      <c r="B6" s="1586"/>
    </row>
    <row r="7" spans="2:19">
      <c r="B7" s="1588" t="s">
        <v>1584</v>
      </c>
    </row>
    <row r="8" spans="2:19">
      <c r="B8" s="1588" t="s">
        <v>1660</v>
      </c>
    </row>
    <row r="9" spans="2:19">
      <c r="B9" s="1588" t="s">
        <v>1585</v>
      </c>
    </row>
    <row r="11" spans="2:19">
      <c r="B11" s="1588" t="s">
        <v>1586</v>
      </c>
    </row>
    <row r="12" spans="2:19">
      <c r="B12" s="1588"/>
    </row>
    <row r="13" spans="2:19">
      <c r="B13" s="1587" t="s">
        <v>1587</v>
      </c>
    </row>
    <row r="14" spans="2:19">
      <c r="B14" s="1588"/>
    </row>
    <row r="15" spans="2:19">
      <c r="B15" s="1589" t="s">
        <v>1588</v>
      </c>
    </row>
    <row r="16" spans="2:19">
      <c r="B16" s="1589" t="s">
        <v>1589</v>
      </c>
    </row>
    <row r="17" spans="2:2">
      <c r="B17" s="1589" t="s">
        <v>1590</v>
      </c>
    </row>
    <row r="18" spans="2:2">
      <c r="B18" s="1589" t="s">
        <v>1591</v>
      </c>
    </row>
    <row r="19" spans="2:2">
      <c r="B19" s="1589" t="s">
        <v>1592</v>
      </c>
    </row>
    <row r="20" spans="2:2">
      <c r="B20" s="1589" t="s">
        <v>1593</v>
      </c>
    </row>
    <row r="21" spans="2:2">
      <c r="B21" s="1588"/>
    </row>
    <row r="22" spans="2:2">
      <c r="B22" s="1590" t="s">
        <v>1594</v>
      </c>
    </row>
    <row r="23" spans="2:2">
      <c r="B23" s="1588"/>
    </row>
    <row r="24" spans="2:2">
      <c r="B24" s="1588" t="s">
        <v>1595</v>
      </c>
    </row>
    <row r="25" spans="2:2">
      <c r="B25" s="1588" t="s">
        <v>1596</v>
      </c>
    </row>
    <row r="26" spans="2:2">
      <c r="B26" s="1588" t="s">
        <v>1597</v>
      </c>
    </row>
    <row r="27" spans="2:2">
      <c r="B27" s="1588"/>
    </row>
    <row r="28" spans="2:2">
      <c r="B28" s="1588" t="s">
        <v>1598</v>
      </c>
    </row>
    <row r="29" spans="2:2">
      <c r="B29" s="1588"/>
    </row>
    <row r="30" spans="2:2">
      <c r="B30" s="1591" t="s">
        <v>1599</v>
      </c>
    </row>
    <row r="31" spans="2:2">
      <c r="B31" s="1588"/>
    </row>
    <row r="32" spans="2:2">
      <c r="B32" s="1592" t="s">
        <v>1600</v>
      </c>
    </row>
    <row r="33" spans="2:2">
      <c r="B33" s="1592"/>
    </row>
    <row r="34" spans="2:2">
      <c r="B34" s="1592" t="s">
        <v>1601</v>
      </c>
    </row>
    <row r="35" spans="2:2">
      <c r="B35" s="1592"/>
    </row>
    <row r="36" spans="2:2">
      <c r="B36" s="1592" t="s">
        <v>1602</v>
      </c>
    </row>
    <row r="37" spans="2:2">
      <c r="B37" s="1592"/>
    </row>
    <row r="38" spans="2:2">
      <c r="B38" s="1592" t="s">
        <v>1603</v>
      </c>
    </row>
    <row r="39" spans="2:2">
      <c r="B39" s="1592"/>
    </row>
    <row r="40" spans="2:2">
      <c r="B40" s="1592" t="s">
        <v>1604</v>
      </c>
    </row>
    <row r="41" spans="2:2">
      <c r="B41" s="1588"/>
    </row>
    <row r="42" spans="2:2">
      <c r="B42" s="1590" t="s">
        <v>1605</v>
      </c>
    </row>
    <row r="43" spans="2:2">
      <c r="B43" s="1590"/>
    </row>
    <row r="44" spans="2:2">
      <c r="B44" s="1590" t="s">
        <v>1606</v>
      </c>
    </row>
    <row r="45" spans="2:2">
      <c r="B45" s="1590"/>
    </row>
    <row r="46" spans="2:2">
      <c r="B46" s="1590" t="s">
        <v>1607</v>
      </c>
    </row>
    <row r="47" spans="2:2">
      <c r="B47" s="1590"/>
    </row>
    <row r="48" spans="2:2">
      <c r="B48" s="1590" t="s">
        <v>1608</v>
      </c>
    </row>
    <row r="49" spans="2:2">
      <c r="B49" s="1590"/>
    </row>
    <row r="50" spans="2:2">
      <c r="B50" s="1588"/>
    </row>
    <row r="51" spans="2:2">
      <c r="B51" s="1587" t="s">
        <v>1609</v>
      </c>
    </row>
    <row r="52" spans="2:2">
      <c r="B52" s="1588"/>
    </row>
    <row r="53" spans="2:2">
      <c r="B53" s="1588" t="s">
        <v>1610</v>
      </c>
    </row>
    <row r="54" spans="2:2">
      <c r="B54" s="1588"/>
    </row>
    <row r="55" spans="2:2">
      <c r="B55" s="1591" t="s">
        <v>1653</v>
      </c>
    </row>
    <row r="56" spans="2:2">
      <c r="B56" s="1588" t="s">
        <v>1611</v>
      </c>
    </row>
    <row r="57" spans="2:2">
      <c r="B57" s="1588" t="s">
        <v>1654</v>
      </c>
    </row>
    <row r="58" spans="2:2">
      <c r="B58" s="1588" t="s">
        <v>1721</v>
      </c>
    </row>
    <row r="59" spans="2:2">
      <c r="B59" s="1588" t="s">
        <v>1612</v>
      </c>
    </row>
    <row r="60" spans="2:2">
      <c r="B60" s="1593"/>
    </row>
    <row r="61" spans="2:2">
      <c r="B61" s="1590" t="s">
        <v>1655</v>
      </c>
    </row>
    <row r="62" spans="2:2">
      <c r="B62" s="1593"/>
    </row>
    <row r="63" spans="2:2">
      <c r="B63" s="1594" t="s">
        <v>1613</v>
      </c>
    </row>
    <row r="64" spans="2:2">
      <c r="B64" s="1587"/>
    </row>
    <row r="65" spans="2:2">
      <c r="B65" s="1595" t="s">
        <v>1614</v>
      </c>
    </row>
    <row r="66" spans="2:2">
      <c r="B66" s="1595" t="s">
        <v>1615</v>
      </c>
    </row>
    <row r="67" spans="2:2">
      <c r="B67" s="1595" t="s">
        <v>1616</v>
      </c>
    </row>
    <row r="68" spans="2:2">
      <c r="B68" s="1596"/>
    </row>
    <row r="69" spans="2:2">
      <c r="B69" s="1591" t="s">
        <v>1617</v>
      </c>
    </row>
    <row r="70" spans="2:2">
      <c r="B70" s="1586"/>
    </row>
    <row r="71" spans="2:2">
      <c r="B71" s="1587" t="s">
        <v>1618</v>
      </c>
    </row>
    <row r="72" spans="2:2">
      <c r="B72" s="1588"/>
    </row>
    <row r="73" spans="2:2">
      <c r="B73" s="1588" t="s">
        <v>1619</v>
      </c>
    </row>
    <row r="74" spans="2:2">
      <c r="B74" s="1588" t="s">
        <v>1620</v>
      </c>
    </row>
    <row r="75" spans="2:2">
      <c r="B75" s="1588" t="s">
        <v>1656</v>
      </c>
    </row>
    <row r="77" spans="2:2">
      <c r="B77" s="1588" t="s">
        <v>1621</v>
      </c>
    </row>
    <row r="78" spans="2:2">
      <c r="B78" s="1588" t="s">
        <v>1657</v>
      </c>
    </row>
    <row r="79" spans="2:2">
      <c r="B79" s="1588" t="s">
        <v>1622</v>
      </c>
    </row>
    <row r="80" spans="2:2">
      <c r="B80" s="1588"/>
    </row>
    <row r="81" spans="2:2">
      <c r="B81" s="1587" t="s">
        <v>1623</v>
      </c>
    </row>
    <row r="82" spans="2:2">
      <c r="B82" s="1590"/>
    </row>
    <row r="83" spans="2:2">
      <c r="B83" s="1588" t="s">
        <v>1658</v>
      </c>
    </row>
    <row r="84" spans="2:2">
      <c r="B84" s="1588" t="s">
        <v>1624</v>
      </c>
    </row>
    <row r="85" spans="2:2">
      <c r="B85" s="1588" t="s">
        <v>1625</v>
      </c>
    </row>
    <row r="86" spans="2:2">
      <c r="B86" s="1588" t="s">
        <v>1659</v>
      </c>
    </row>
    <row r="87" spans="2:2">
      <c r="B87" s="1588" t="s">
        <v>1626</v>
      </c>
    </row>
    <row r="88" spans="2:2">
      <c r="B88" s="1588" t="s">
        <v>1627</v>
      </c>
    </row>
    <row r="89" spans="2:2">
      <c r="B89" s="1588" t="s">
        <v>1628</v>
      </c>
    </row>
    <row r="90" spans="2:2">
      <c r="B90" s="1588" t="s">
        <v>1629</v>
      </c>
    </row>
    <row r="91" spans="2:2">
      <c r="B91" s="1588" t="s">
        <v>1630</v>
      </c>
    </row>
    <row r="92" spans="2:2">
      <c r="B92" s="1588" t="s">
        <v>1631</v>
      </c>
    </row>
    <row r="93" spans="2:2">
      <c r="B93" s="1588" t="s">
        <v>1632</v>
      </c>
    </row>
    <row r="94" spans="2:2">
      <c r="B94" s="1586"/>
    </row>
    <row r="95" spans="2:2">
      <c r="B95" s="1587" t="s">
        <v>1730</v>
      </c>
    </row>
    <row r="96" spans="2:2">
      <c r="B96" s="1586"/>
    </row>
    <row r="97" spans="2:16">
      <c r="B97" s="1597" t="s">
        <v>1633</v>
      </c>
      <c r="F97" s="1598">
        <f>'Totals '!F9+'Totals '!F67</f>
        <v>260</v>
      </c>
      <c r="G97" s="1599" t="s">
        <v>1729</v>
      </c>
    </row>
    <row r="98" spans="2:16">
      <c r="B98" s="1597" t="s">
        <v>1634</v>
      </c>
      <c r="G98" s="1598">
        <f>'Totals '!B9</f>
        <v>89</v>
      </c>
    </row>
    <row r="99" spans="2:16">
      <c r="B99" s="1597" t="s">
        <v>1635</v>
      </c>
      <c r="I99" s="1598">
        <f>'Totals '!C33</f>
        <v>45669883.632270351</v>
      </c>
      <c r="J99" s="1599" t="s">
        <v>1636</v>
      </c>
      <c r="K99" s="1598">
        <f>'Totals '!D33</f>
        <v>407061729.0788309</v>
      </c>
      <c r="L99" s="1599" t="s">
        <v>1637</v>
      </c>
    </row>
    <row r="100" spans="2:16">
      <c r="B100" s="1597" t="s">
        <v>1638</v>
      </c>
      <c r="H100" s="1598">
        <f>'Totals '!C9</f>
        <v>31</v>
      </c>
    </row>
    <row r="101" spans="2:16">
      <c r="B101" s="1599" t="s">
        <v>1652</v>
      </c>
      <c r="J101" s="1598">
        <f>'Totals '!C55</f>
        <v>12173063.550799999</v>
      </c>
      <c r="K101" s="1599" t="s">
        <v>1639</v>
      </c>
      <c r="L101" s="1598">
        <f>'Totals '!D55</f>
        <v>108500129.69320998</v>
      </c>
      <c r="M101" s="1599" t="s">
        <v>1637</v>
      </c>
    </row>
    <row r="103" spans="2:16">
      <c r="B103" s="1600" t="s">
        <v>1640</v>
      </c>
    </row>
    <row r="105" spans="2:16">
      <c r="B105" s="1599" t="s">
        <v>1641</v>
      </c>
    </row>
    <row r="106" spans="2:16">
      <c r="B106" s="1616" t="s">
        <v>1731</v>
      </c>
      <c r="C106" s="1617"/>
      <c r="D106" s="1617"/>
      <c r="E106" s="1617"/>
      <c r="F106" s="1617"/>
      <c r="G106" s="1617"/>
      <c r="H106" s="1617"/>
      <c r="I106" s="1617"/>
      <c r="J106" s="1617"/>
      <c r="K106" s="1617"/>
      <c r="L106" s="1617"/>
      <c r="M106" s="1617"/>
      <c r="N106" s="1617"/>
      <c r="O106" s="1617"/>
      <c r="P106" s="1617"/>
    </row>
    <row r="108" spans="2:16">
      <c r="B108" s="1599" t="s">
        <v>1642</v>
      </c>
    </row>
    <row r="109" spans="2:16">
      <c r="B109" s="1599" t="s">
        <v>1643</v>
      </c>
      <c r="D109" s="1601" t="s">
        <v>1644</v>
      </c>
      <c r="F109" s="1599" t="s">
        <v>1645</v>
      </c>
    </row>
    <row r="110" spans="2:16">
      <c r="B110" s="1599" t="s">
        <v>1646</v>
      </c>
      <c r="D110" s="1601" t="s">
        <v>1647</v>
      </c>
    </row>
  </sheetData>
  <mergeCells count="1">
    <mergeCell ref="B3:S3"/>
  </mergeCells>
  <hyperlinks>
    <hyperlink ref="D109" r:id="rId1"/>
    <hyperlink ref="D110"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3"/>
  <sheetViews>
    <sheetView zoomScale="90" zoomScaleNormal="90" workbookViewId="0">
      <pane ySplit="9" topLeftCell="A79" activePane="bottomLeft" state="frozen"/>
      <selection activeCell="F1" sqref="F1"/>
      <selection pane="bottomLeft" activeCell="C78" sqref="C78:D78"/>
    </sheetView>
  </sheetViews>
  <sheetFormatPr defaultColWidth="28.140625" defaultRowHeight="15"/>
  <cols>
    <col min="1" max="2" width="10.42578125" customWidth="1"/>
    <col min="3" max="3" width="5.85546875" customWidth="1"/>
    <col min="4" max="4" width="28.28515625" customWidth="1"/>
    <col min="5" max="5" width="9.5703125" customWidth="1"/>
    <col min="6" max="6" width="26.7109375" customWidth="1"/>
    <col min="7" max="7" width="13.28515625" customWidth="1"/>
    <col min="8" max="8" width="14.140625" customWidth="1"/>
    <col min="9" max="9" width="8.42578125" customWidth="1"/>
    <col min="10" max="10" width="9.7109375" customWidth="1"/>
    <col min="11" max="11" width="24.7109375" customWidth="1"/>
    <col min="12" max="13" width="10.7109375" customWidth="1"/>
    <col min="14" max="14" width="7.7109375" customWidth="1"/>
    <col min="15" max="15" width="7.42578125" customWidth="1"/>
    <col min="16" max="16" width="7.5703125" customWidth="1"/>
    <col min="17" max="17" width="9.140625" customWidth="1"/>
    <col min="18" max="18" width="7.28515625" customWidth="1"/>
    <col min="19" max="20" width="7.7109375" customWidth="1"/>
    <col min="21" max="21" width="8.7109375" customWidth="1"/>
    <col min="22" max="22" width="9.85546875" customWidth="1"/>
    <col min="23" max="23" width="5.85546875" customWidth="1"/>
    <col min="24" max="25" width="7.28515625" customWidth="1"/>
    <col min="26" max="26" width="12.42578125" customWidth="1"/>
    <col min="27" max="27" width="9" customWidth="1"/>
    <col min="28" max="28" width="5" customWidth="1"/>
    <col min="29" max="29" width="24" customWidth="1"/>
    <col min="30" max="30" width="13.140625" bestFit="1" customWidth="1"/>
    <col min="31" max="31" width="54.140625" customWidth="1"/>
    <col min="32" max="32" width="40.5703125" customWidth="1"/>
    <col min="34" max="34" width="27.7109375" bestFit="1" customWidth="1"/>
  </cols>
  <sheetData>
    <row r="1" spans="1:59" ht="15.75">
      <c r="A1" s="2" t="s">
        <v>0</v>
      </c>
      <c r="B1" s="3" t="s">
        <v>1</v>
      </c>
      <c r="C1" s="1502"/>
      <c r="D1" s="1503"/>
      <c r="E1" s="1"/>
      <c r="F1" s="4" t="s">
        <v>2</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5"/>
      <c r="AK1" s="1"/>
    </row>
    <row r="2" spans="1:59">
      <c r="A2" s="1"/>
      <c r="B2" s="6" t="s">
        <v>1521</v>
      </c>
      <c r="C2" s="1504"/>
      <c r="D2" s="1505"/>
      <c r="E2" s="1"/>
      <c r="F2" s="4" t="s">
        <v>3</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
      <c r="AK2" s="1"/>
    </row>
    <row r="3" spans="1:59">
      <c r="A3" s="1"/>
      <c r="B3" s="7" t="s">
        <v>1537</v>
      </c>
      <c r="C3" s="1506"/>
      <c r="D3" s="150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5"/>
      <c r="AK3" s="1"/>
    </row>
    <row r="4" spans="1:59">
      <c r="A4" s="1"/>
      <c r="B4" s="1411" t="s">
        <v>1552</v>
      </c>
      <c r="C4" s="1508"/>
      <c r="D4" s="1509"/>
      <c r="E4" s="1"/>
      <c r="F4" s="1"/>
      <c r="G4" s="1"/>
      <c r="H4" s="1"/>
      <c r="I4" s="1"/>
      <c r="J4" s="1"/>
      <c r="K4" s="1"/>
      <c r="L4" s="1"/>
      <c r="M4" s="1"/>
      <c r="N4" s="1"/>
      <c r="O4" s="1"/>
      <c r="P4" s="1"/>
      <c r="Q4" s="1"/>
      <c r="R4" s="1"/>
      <c r="S4" s="1"/>
      <c r="T4" s="1"/>
      <c r="U4" s="1"/>
      <c r="V4" s="1"/>
      <c r="W4" s="8"/>
      <c r="X4" s="1"/>
      <c r="Y4" s="1"/>
      <c r="Z4" s="1"/>
      <c r="AA4" s="1"/>
      <c r="AB4" s="1"/>
      <c r="AC4" s="1"/>
      <c r="AD4" s="1"/>
      <c r="AE4" s="1"/>
      <c r="AF4" s="1"/>
      <c r="AG4" s="1"/>
      <c r="AH4" s="1"/>
      <c r="AI4" s="1"/>
      <c r="AJ4" s="5"/>
      <c r="AK4" s="1"/>
    </row>
    <row r="5" spans="1:59">
      <c r="A5" s="1"/>
      <c r="B5" s="1407" t="s">
        <v>1522</v>
      </c>
      <c r="C5" s="1510"/>
      <c r="D5" s="151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5"/>
      <c r="AK5" s="1"/>
    </row>
    <row r="6" spans="1:59">
      <c r="A6" s="1"/>
      <c r="B6" s="1416" t="s">
        <v>1523</v>
      </c>
      <c r="C6" s="1512"/>
      <c r="D6" s="1513"/>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5"/>
      <c r="AK6" s="1"/>
    </row>
    <row r="7" spans="1:59">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832"/>
      <c r="AH7" s="832"/>
      <c r="AI7" s="832"/>
      <c r="AJ7" s="832"/>
      <c r="AK7" s="832"/>
      <c r="AL7" s="832"/>
      <c r="AM7" s="832"/>
      <c r="AN7" s="832"/>
      <c r="AO7" s="832"/>
      <c r="AP7" s="832"/>
      <c r="AQ7" s="832"/>
      <c r="AR7" s="832"/>
      <c r="AS7" s="832"/>
      <c r="AT7" s="832"/>
      <c r="AU7" s="832"/>
      <c r="AV7" s="832"/>
      <c r="AW7" s="832"/>
      <c r="AX7" s="832"/>
      <c r="AY7" s="832"/>
      <c r="AZ7" s="832"/>
      <c r="BA7" s="832"/>
      <c r="BB7" s="832"/>
      <c r="BC7" s="832"/>
      <c r="BD7" s="832"/>
      <c r="BE7" s="832"/>
      <c r="BF7" s="832"/>
      <c r="BG7" s="832"/>
    </row>
    <row r="8" spans="1:59" ht="15.75">
      <c r="A8" s="1643" t="s">
        <v>4</v>
      </c>
      <c r="B8" s="1644"/>
      <c r="C8" s="1644"/>
      <c r="D8" s="1644"/>
      <c r="E8" s="1644"/>
      <c r="F8" s="1644"/>
      <c r="G8" s="1644"/>
      <c r="H8" s="1644"/>
      <c r="I8" s="1644"/>
      <c r="J8" s="1644"/>
      <c r="K8" s="1644"/>
      <c r="L8" s="1644"/>
      <c r="M8" s="1644"/>
      <c r="N8" s="1645"/>
      <c r="O8" s="1643" t="s">
        <v>1462</v>
      </c>
      <c r="P8" s="1644"/>
      <c r="Q8" s="1644"/>
      <c r="R8" s="1644"/>
      <c r="S8" s="1644"/>
      <c r="T8" s="1644"/>
      <c r="U8" s="1644"/>
      <c r="V8" s="1644"/>
      <c r="W8" s="1644"/>
      <c r="X8" s="1644"/>
      <c r="Y8" s="1644"/>
      <c r="Z8" s="1644"/>
      <c r="AA8" s="1644"/>
      <c r="AB8" s="1644"/>
      <c r="AC8" s="1644"/>
      <c r="AD8" s="1644"/>
      <c r="AE8" s="1644"/>
      <c r="AF8" s="1645"/>
      <c r="AG8" s="832"/>
      <c r="AH8" s="832"/>
      <c r="AI8" s="832"/>
      <c r="AJ8" s="832"/>
      <c r="AK8" s="832"/>
      <c r="AL8" s="832"/>
      <c r="AM8" s="832"/>
      <c r="AN8" s="832"/>
      <c r="AO8" s="832"/>
      <c r="AP8" s="832"/>
      <c r="AQ8" s="832"/>
      <c r="AR8" s="832"/>
      <c r="AS8" s="832"/>
      <c r="AT8" s="832"/>
      <c r="AU8" s="832"/>
      <c r="AV8" s="832"/>
      <c r="AW8" s="832"/>
      <c r="AX8" s="832"/>
      <c r="AY8" s="832"/>
      <c r="AZ8" s="832"/>
      <c r="BA8" s="832"/>
      <c r="BB8" s="832"/>
      <c r="BC8" s="832"/>
      <c r="BD8" s="832"/>
      <c r="BE8" s="832"/>
      <c r="BF8" s="832"/>
      <c r="BG8" s="832"/>
    </row>
    <row r="9" spans="1:59" ht="97.5">
      <c r="A9" s="9" t="s">
        <v>6</v>
      </c>
      <c r="B9" s="9" t="s">
        <v>1540</v>
      </c>
      <c r="C9" s="9" t="s">
        <v>5</v>
      </c>
      <c r="D9" s="9" t="s">
        <v>7</v>
      </c>
      <c r="E9" s="9" t="s">
        <v>8</v>
      </c>
      <c r="F9" s="9" t="s">
        <v>9</v>
      </c>
      <c r="G9" s="9" t="s">
        <v>1448</v>
      </c>
      <c r="H9" s="9" t="s">
        <v>11</v>
      </c>
      <c r="I9" s="9" t="s">
        <v>12</v>
      </c>
      <c r="J9" s="9" t="s">
        <v>13</v>
      </c>
      <c r="K9" s="9" t="s">
        <v>14</v>
      </c>
      <c r="L9" s="1299" t="s">
        <v>15</v>
      </c>
      <c r="M9" s="1299" t="s">
        <v>16</v>
      </c>
      <c r="N9" s="1299" t="s">
        <v>17</v>
      </c>
      <c r="O9" s="1299" t="s">
        <v>18</v>
      </c>
      <c r="P9" s="1299" t="s">
        <v>19</v>
      </c>
      <c r="Q9" s="1299" t="s">
        <v>1460</v>
      </c>
      <c r="R9" s="1299" t="s">
        <v>1484</v>
      </c>
      <c r="S9" s="1299" t="s">
        <v>20</v>
      </c>
      <c r="T9" s="1299" t="s">
        <v>21</v>
      </c>
      <c r="U9" s="1299" t="s">
        <v>22</v>
      </c>
      <c r="V9" s="1299" t="s">
        <v>1495</v>
      </c>
      <c r="W9" s="1299" t="s">
        <v>23</v>
      </c>
      <c r="X9" s="1299" t="s">
        <v>1457</v>
      </c>
      <c r="Y9" s="1299" t="s">
        <v>24</v>
      </c>
      <c r="Z9" s="1299" t="s">
        <v>25</v>
      </c>
      <c r="AA9" s="1299" t="s">
        <v>1524</v>
      </c>
      <c r="AB9" s="1299" t="s">
        <v>1458</v>
      </c>
      <c r="AC9" s="1413" t="s">
        <v>1461</v>
      </c>
      <c r="AD9" s="832"/>
      <c r="AE9" s="832"/>
      <c r="AF9" s="832"/>
      <c r="AG9" s="832"/>
      <c r="AH9" s="832"/>
      <c r="AI9" s="832"/>
      <c r="AJ9" s="832"/>
      <c r="AK9" s="832"/>
      <c r="AL9" s="832"/>
      <c r="AM9" s="832"/>
      <c r="AN9" s="832"/>
      <c r="AO9" s="832"/>
      <c r="AP9" s="832"/>
      <c r="AQ9" s="832"/>
      <c r="AR9" s="832"/>
      <c r="AS9" s="832"/>
      <c r="AT9" s="832"/>
      <c r="AU9" s="832"/>
      <c r="AV9" s="832"/>
      <c r="AW9" s="832"/>
      <c r="AX9" s="832"/>
      <c r="AY9" s="832"/>
      <c r="AZ9" s="832"/>
      <c r="BA9" s="832"/>
      <c r="BB9" s="832"/>
      <c r="BC9" s="832"/>
      <c r="BD9" s="832"/>
    </row>
    <row r="10" spans="1:59" ht="15.75">
      <c r="A10" s="670"/>
      <c r="B10" s="669" t="s">
        <v>26</v>
      </c>
      <c r="C10" s="670"/>
      <c r="D10" s="671"/>
      <c r="E10" s="1350"/>
      <c r="F10" s="672"/>
      <c r="G10" s="673"/>
      <c r="H10" s="673"/>
      <c r="I10" s="673"/>
      <c r="J10" s="673"/>
      <c r="K10" s="673"/>
      <c r="L10" s="674"/>
      <c r="M10" s="674"/>
      <c r="N10" s="674"/>
      <c r="O10" s="675"/>
      <c r="P10" s="676"/>
      <c r="Q10" s="677"/>
      <c r="R10" s="677"/>
      <c r="S10" s="676"/>
      <c r="T10" s="678"/>
      <c r="U10" s="675"/>
      <c r="V10" s="679"/>
      <c r="W10" s="678"/>
      <c r="X10" s="680"/>
      <c r="Y10" s="680"/>
      <c r="Z10" s="680"/>
      <c r="AA10" s="680"/>
      <c r="AB10" s="681"/>
      <c r="AC10" s="1327"/>
    </row>
    <row r="11" spans="1:59" ht="163.5">
      <c r="A11" s="32" t="s">
        <v>31</v>
      </c>
      <c r="B11" s="31" t="s">
        <v>48</v>
      </c>
      <c r="C11" s="30" t="s">
        <v>30</v>
      </c>
      <c r="D11" s="30" t="s">
        <v>49</v>
      </c>
      <c r="E11" s="33" t="s">
        <v>50</v>
      </c>
      <c r="F11" s="94" t="s">
        <v>51</v>
      </c>
      <c r="G11" s="94" t="s">
        <v>117</v>
      </c>
      <c r="H11" s="94" t="s">
        <v>52</v>
      </c>
      <c r="I11" s="94" t="s">
        <v>53</v>
      </c>
      <c r="J11" s="94" t="s">
        <v>53</v>
      </c>
      <c r="K11" s="1437" t="s">
        <v>54</v>
      </c>
      <c r="L11" s="1030">
        <v>5000</v>
      </c>
      <c r="M11" s="94"/>
      <c r="N11" s="95">
        <v>330000</v>
      </c>
      <c r="O11" s="96"/>
      <c r="P11" s="91"/>
      <c r="Q11" s="1044" t="s">
        <v>1445</v>
      </c>
      <c r="R11" s="96"/>
      <c r="S11" s="91"/>
      <c r="T11" s="97"/>
      <c r="U11" s="98"/>
      <c r="V11" s="97"/>
      <c r="W11" s="99" t="s">
        <v>66</v>
      </c>
      <c r="X11" s="99"/>
      <c r="Y11" s="99"/>
      <c r="Z11" s="99" t="s">
        <v>55</v>
      </c>
      <c r="AA11" s="99"/>
      <c r="AB11" s="94"/>
      <c r="AC11" s="29" t="s">
        <v>47</v>
      </c>
    </row>
    <row r="12" spans="1:59" ht="163.5">
      <c r="A12" s="32" t="s">
        <v>31</v>
      </c>
      <c r="B12" s="12" t="s">
        <v>144</v>
      </c>
      <c r="C12" s="11" t="s">
        <v>30</v>
      </c>
      <c r="D12" s="11" t="s">
        <v>49</v>
      </c>
      <c r="E12" s="13" t="s">
        <v>50</v>
      </c>
      <c r="F12" s="64"/>
      <c r="G12" s="11" t="s">
        <v>135</v>
      </c>
      <c r="H12" s="11" t="s">
        <v>52</v>
      </c>
      <c r="I12" s="11" t="s">
        <v>72</v>
      </c>
      <c r="J12" s="11" t="s">
        <v>53</v>
      </c>
      <c r="K12" s="1446" t="s">
        <v>1702</v>
      </c>
      <c r="L12" s="861">
        <v>2500</v>
      </c>
      <c r="M12" s="11"/>
      <c r="N12" s="34">
        <v>330000</v>
      </c>
      <c r="O12" s="19"/>
      <c r="P12" s="15"/>
      <c r="Q12" s="1450" t="s">
        <v>1445</v>
      </c>
      <c r="R12" s="1451"/>
      <c r="S12" s="15"/>
      <c r="T12" s="20"/>
      <c r="U12" s="21" t="s">
        <v>137</v>
      </c>
      <c r="V12" s="20"/>
      <c r="W12" s="1335" t="s">
        <v>66</v>
      </c>
      <c r="X12" s="22"/>
      <c r="Y12" s="22"/>
      <c r="Z12" s="22" t="s">
        <v>55</v>
      </c>
      <c r="AA12" s="22"/>
      <c r="AB12" s="11"/>
      <c r="AC12" s="10" t="s">
        <v>47</v>
      </c>
    </row>
    <row r="13" spans="1:59" ht="144.75" customHeight="1">
      <c r="A13" s="32" t="s">
        <v>31</v>
      </c>
      <c r="B13" s="1014" t="s">
        <v>57</v>
      </c>
      <c r="C13" s="1011" t="s">
        <v>30</v>
      </c>
      <c r="D13" s="1011" t="s">
        <v>58</v>
      </c>
      <c r="E13" s="1021" t="s">
        <v>33</v>
      </c>
      <c r="F13" s="1011">
        <v>2008</v>
      </c>
      <c r="G13" s="1011" t="s">
        <v>117</v>
      </c>
      <c r="H13" s="1011" t="s">
        <v>59</v>
      </c>
      <c r="I13" s="1028" t="s">
        <v>60</v>
      </c>
      <c r="J13" s="1011" t="s">
        <v>61</v>
      </c>
      <c r="K13" s="1011" t="s">
        <v>62</v>
      </c>
      <c r="L13" s="1032">
        <v>9000</v>
      </c>
      <c r="M13" s="1034">
        <v>273750</v>
      </c>
      <c r="N13" s="1037">
        <v>1200000</v>
      </c>
      <c r="O13" s="1040">
        <f>P13/( 0.001 * 365*0.9)</f>
        <v>580608.21917808219</v>
      </c>
      <c r="P13" s="1040">
        <f>S13*0.112194</f>
        <v>190729.80000000002</v>
      </c>
      <c r="Q13" s="1046" t="s">
        <v>1444</v>
      </c>
      <c r="R13" s="81"/>
      <c r="S13" s="1052">
        <v>1700000</v>
      </c>
      <c r="T13" s="1055">
        <v>1700000</v>
      </c>
      <c r="U13" s="1059" t="s">
        <v>63</v>
      </c>
      <c r="V13" s="1063" t="s">
        <v>64</v>
      </c>
      <c r="W13" s="99" t="s">
        <v>66</v>
      </c>
      <c r="X13" s="1067" t="s">
        <v>65</v>
      </c>
      <c r="Y13" s="59" t="s">
        <v>66</v>
      </c>
      <c r="Z13" s="59" t="s">
        <v>59</v>
      </c>
      <c r="AA13" s="59" t="s">
        <v>67</v>
      </c>
      <c r="AB13" s="1070" t="s">
        <v>27</v>
      </c>
      <c r="AC13" s="557" t="s">
        <v>56</v>
      </c>
    </row>
    <row r="14" spans="1:59" ht="47.25" customHeight="1">
      <c r="A14" s="32" t="s">
        <v>31</v>
      </c>
      <c r="B14" s="40" t="s">
        <v>1296</v>
      </c>
      <c r="C14" s="39" t="s">
        <v>30</v>
      </c>
      <c r="D14" s="39" t="s">
        <v>58</v>
      </c>
      <c r="E14" s="41" t="s">
        <v>33</v>
      </c>
      <c r="F14" s="39"/>
      <c r="G14" s="39" t="s">
        <v>135</v>
      </c>
      <c r="H14" s="1438" t="s">
        <v>165</v>
      </c>
      <c r="I14" s="1438" t="s">
        <v>166</v>
      </c>
      <c r="J14" s="39"/>
      <c r="K14" s="1438" t="s">
        <v>167</v>
      </c>
      <c r="L14" s="43">
        <v>9000</v>
      </c>
      <c r="M14" s="39"/>
      <c r="N14" s="39"/>
      <c r="O14" s="44" t="s">
        <v>168</v>
      </c>
      <c r="P14" s="44" t="s">
        <v>168</v>
      </c>
      <c r="Q14" s="1047" t="s">
        <v>1445</v>
      </c>
      <c r="R14" s="1048"/>
      <c r="S14" s="44" t="s">
        <v>168</v>
      </c>
      <c r="T14" s="1056"/>
      <c r="U14" s="1060"/>
      <c r="V14" s="613"/>
      <c r="W14" s="99" t="s">
        <v>66</v>
      </c>
      <c r="X14" s="45"/>
      <c r="Y14" s="45"/>
      <c r="Z14" s="45"/>
      <c r="AA14" s="45" t="s">
        <v>40</v>
      </c>
      <c r="AB14" s="1071" t="s">
        <v>27</v>
      </c>
      <c r="AC14" s="38" t="s">
        <v>164</v>
      </c>
    </row>
    <row r="15" spans="1:59" s="832" customFormat="1" ht="47.25" customHeight="1">
      <c r="A15" s="1018" t="s">
        <v>31</v>
      </c>
      <c r="B15" s="1015" t="s">
        <v>29</v>
      </c>
      <c r="C15" s="1012" t="s">
        <v>30</v>
      </c>
      <c r="D15" s="1012" t="s">
        <v>32</v>
      </c>
      <c r="E15" s="1022" t="s">
        <v>33</v>
      </c>
      <c r="F15" s="1012"/>
      <c r="G15" s="1012" t="s">
        <v>117</v>
      </c>
      <c r="H15" s="1012" t="s">
        <v>34</v>
      </c>
      <c r="I15" s="1012" t="s">
        <v>35</v>
      </c>
      <c r="J15" s="1012"/>
      <c r="K15" s="1445" t="s">
        <v>36</v>
      </c>
      <c r="L15" s="15">
        <v>16000</v>
      </c>
      <c r="M15" s="1012">
        <v>345000</v>
      </c>
      <c r="N15" s="1038">
        <v>2160000</v>
      </c>
      <c r="O15" s="1041">
        <f>N15*0.6</f>
        <v>1296000</v>
      </c>
      <c r="P15" s="1043">
        <f>O15*0.001*365*0.9</f>
        <v>425736</v>
      </c>
      <c r="Q15" s="911" t="s">
        <v>1443</v>
      </c>
      <c r="R15" s="1050" t="s">
        <v>38</v>
      </c>
      <c r="S15" s="1053">
        <f>P15/0.112194</f>
        <v>3794641.4246751163</v>
      </c>
      <c r="T15" s="1057"/>
      <c r="U15" s="1023"/>
      <c r="V15" s="1057"/>
      <c r="W15" s="1335" t="s">
        <v>66</v>
      </c>
      <c r="X15" s="1065"/>
      <c r="Y15" s="1068" t="s">
        <v>39</v>
      </c>
      <c r="Z15" s="1065"/>
      <c r="AA15" s="1065" t="s">
        <v>40</v>
      </c>
      <c r="AB15" s="1029" t="s">
        <v>27</v>
      </c>
      <c r="AC15" s="655" t="s">
        <v>28</v>
      </c>
    </row>
    <row r="16" spans="1:59" ht="80.25" customHeight="1">
      <c r="A16" s="612" t="s">
        <v>31</v>
      </c>
      <c r="B16" s="1013" t="s">
        <v>1171</v>
      </c>
      <c r="C16" s="46" t="s">
        <v>41</v>
      </c>
      <c r="D16" s="32" t="s">
        <v>1475</v>
      </c>
      <c r="E16" s="47" t="s">
        <v>70</v>
      </c>
      <c r="F16" s="32">
        <v>2016</v>
      </c>
      <c r="G16" s="32" t="s">
        <v>117</v>
      </c>
      <c r="H16" s="48" t="s">
        <v>71</v>
      </c>
      <c r="I16" s="1412" t="s">
        <v>72</v>
      </c>
      <c r="J16" s="49"/>
      <c r="K16" s="1438" t="s">
        <v>1703</v>
      </c>
      <c r="L16" s="861">
        <v>14150</v>
      </c>
      <c r="M16" s="46"/>
      <c r="N16" s="1483">
        <f>O16*0.6</f>
        <v>54794.520547945205</v>
      </c>
      <c r="O16" s="1483">
        <f>P16/(0.001*365*0.9)</f>
        <v>91324.200913242006</v>
      </c>
      <c r="P16" s="1484">
        <v>30000</v>
      </c>
      <c r="Q16" s="912" t="s">
        <v>1445</v>
      </c>
      <c r="R16" s="35"/>
      <c r="S16" s="1485">
        <f>P16/0.112194</f>
        <v>267393.97828760894</v>
      </c>
      <c r="T16" s="50"/>
      <c r="U16" s="50"/>
      <c r="V16" s="50"/>
      <c r="W16" s="99" t="s">
        <v>66</v>
      </c>
      <c r="X16" s="50" t="s">
        <v>73</v>
      </c>
      <c r="Y16" s="50"/>
      <c r="Z16" s="50"/>
      <c r="AA16" s="50"/>
      <c r="AB16" s="32" t="s">
        <v>27</v>
      </c>
      <c r="AC16" s="119" t="s">
        <v>68</v>
      </c>
    </row>
    <row r="17" spans="1:35" ht="115.5" customHeight="1">
      <c r="A17" s="37" t="s">
        <v>31</v>
      </c>
      <c r="B17" s="1409" t="s">
        <v>1173</v>
      </c>
      <c r="C17" s="1016" t="s">
        <v>41</v>
      </c>
      <c r="D17" s="529" t="s">
        <v>1476</v>
      </c>
      <c r="E17" s="1020" t="s">
        <v>70</v>
      </c>
      <c r="F17" s="1024">
        <v>2016</v>
      </c>
      <c r="G17" s="1025" t="s">
        <v>117</v>
      </c>
      <c r="H17" s="529" t="s">
        <v>71</v>
      </c>
      <c r="I17" s="1026"/>
      <c r="J17" s="1024"/>
      <c r="K17" s="1439" t="s">
        <v>1704</v>
      </c>
      <c r="L17" s="1487" t="s">
        <v>1175</v>
      </c>
      <c r="M17" s="1016"/>
      <c r="N17" s="1035">
        <f>O17*0.6</f>
        <v>109589.04109589041</v>
      </c>
      <c r="O17" s="1035">
        <f>P17/(0.001*365*0.9)</f>
        <v>182648.40182648401</v>
      </c>
      <c r="P17" s="1486">
        <v>60000</v>
      </c>
      <c r="Q17" s="1045" t="s">
        <v>1445</v>
      </c>
      <c r="R17" s="81"/>
      <c r="S17" s="1035">
        <f>P17/0.112194</f>
        <v>534787.95657521789</v>
      </c>
      <c r="T17" s="1024"/>
      <c r="U17" s="1016" t="s">
        <v>39</v>
      </c>
      <c r="V17" s="1061">
        <v>45000</v>
      </c>
      <c r="W17" s="99" t="s">
        <v>66</v>
      </c>
      <c r="X17" s="1024"/>
      <c r="Y17" s="1024"/>
      <c r="Z17" s="1024"/>
      <c r="AA17" s="1024"/>
      <c r="AB17" s="529" t="s">
        <v>27</v>
      </c>
      <c r="AC17" s="51" t="s">
        <v>84</v>
      </c>
    </row>
    <row r="18" spans="1:35" ht="122.25" customHeight="1">
      <c r="A18" s="54" t="s">
        <v>31</v>
      </c>
      <c r="B18" s="53" t="s">
        <v>1172</v>
      </c>
      <c r="C18" s="37" t="s">
        <v>41</v>
      </c>
      <c r="D18" s="37" t="s">
        <v>75</v>
      </c>
      <c r="E18" s="55" t="s">
        <v>70</v>
      </c>
      <c r="F18" s="56">
        <v>2017</v>
      </c>
      <c r="G18" s="61" t="s">
        <v>117</v>
      </c>
      <c r="H18" s="37" t="s">
        <v>76</v>
      </c>
      <c r="I18" s="57" t="s">
        <v>72</v>
      </c>
      <c r="J18" s="37"/>
      <c r="K18" s="1440" t="s">
        <v>1705</v>
      </c>
      <c r="L18" s="1488" t="s">
        <v>1174</v>
      </c>
      <c r="M18" s="37"/>
      <c r="N18" s="1483">
        <f>O18*0.6</f>
        <v>136986.30136986301</v>
      </c>
      <c r="O18" s="1483">
        <f>P18/(0.001*365*0.9)</f>
        <v>228310.50228310502</v>
      </c>
      <c r="P18" s="58">
        <v>75000</v>
      </c>
      <c r="Q18" s="913" t="s">
        <v>1445</v>
      </c>
      <c r="R18" s="35"/>
      <c r="S18" s="1485">
        <f>P18/0.112194</f>
        <v>668484.94571902242</v>
      </c>
      <c r="T18" s="60"/>
      <c r="U18" s="60" t="s">
        <v>39</v>
      </c>
      <c r="V18" s="58">
        <v>100000</v>
      </c>
      <c r="W18" s="99" t="s">
        <v>66</v>
      </c>
      <c r="X18" s="59" t="s">
        <v>73</v>
      </c>
      <c r="Y18" s="59" t="s">
        <v>77</v>
      </c>
      <c r="Z18" s="59" t="s">
        <v>78</v>
      </c>
      <c r="AA18" s="59"/>
      <c r="AB18" s="37" t="s">
        <v>27</v>
      </c>
      <c r="AC18" s="52" t="s">
        <v>74</v>
      </c>
    </row>
    <row r="19" spans="1:35" ht="75" customHeight="1">
      <c r="A19" s="62" t="s">
        <v>31</v>
      </c>
      <c r="B19" s="12" t="s">
        <v>79</v>
      </c>
      <c r="C19" s="11" t="s">
        <v>41</v>
      </c>
      <c r="D19" s="11" t="s">
        <v>80</v>
      </c>
      <c r="E19" s="13" t="s">
        <v>81</v>
      </c>
      <c r="F19" s="63">
        <v>42887</v>
      </c>
      <c r="G19" s="11" t="s">
        <v>117</v>
      </c>
      <c r="H19" s="11" t="s">
        <v>82</v>
      </c>
      <c r="I19" s="64"/>
      <c r="J19" s="11" t="s">
        <v>1211</v>
      </c>
      <c r="K19" s="1446" t="s">
        <v>1386</v>
      </c>
      <c r="L19" s="34">
        <v>60000</v>
      </c>
      <c r="M19" s="11"/>
      <c r="N19" s="16"/>
      <c r="O19" s="17">
        <f>P19/(0.001*365*0.9)</f>
        <v>243531.20243531201</v>
      </c>
      <c r="P19" s="34">
        <v>80000</v>
      </c>
      <c r="Q19" s="911" t="s">
        <v>1443</v>
      </c>
      <c r="R19" s="19"/>
      <c r="S19" s="15"/>
      <c r="T19" s="20"/>
      <c r="U19" s="538" t="s">
        <v>1212</v>
      </c>
      <c r="V19" s="20"/>
      <c r="W19" s="1335" t="s">
        <v>66</v>
      </c>
      <c r="X19" s="22"/>
      <c r="Y19" s="22"/>
      <c r="Z19" s="22"/>
      <c r="AA19" s="23" t="s">
        <v>83</v>
      </c>
      <c r="AB19" s="11"/>
      <c r="AC19" s="10" t="s">
        <v>1214</v>
      </c>
    </row>
    <row r="20" spans="1:35" ht="70.5" customHeight="1">
      <c r="A20" s="37" t="s">
        <v>31</v>
      </c>
      <c r="B20" s="1013" t="s">
        <v>86</v>
      </c>
      <c r="C20" s="1017" t="s">
        <v>30</v>
      </c>
      <c r="D20" s="1019" t="s">
        <v>87</v>
      </c>
      <c r="E20" s="42" t="s">
        <v>43</v>
      </c>
      <c r="F20" s="1019">
        <v>2010</v>
      </c>
      <c r="G20" s="1019" t="s">
        <v>117</v>
      </c>
      <c r="H20" s="1019" t="s">
        <v>88</v>
      </c>
      <c r="I20" s="1027" t="s">
        <v>44</v>
      </c>
      <c r="J20" s="1019" t="s">
        <v>61</v>
      </c>
      <c r="K20" s="1438" t="s">
        <v>1706</v>
      </c>
      <c r="L20" s="1031"/>
      <c r="M20" s="1033">
        <v>35000</v>
      </c>
      <c r="N20" s="1036"/>
      <c r="O20" s="1039">
        <v>201949.19999999998</v>
      </c>
      <c r="P20" s="1042">
        <v>66340.3122</v>
      </c>
      <c r="Q20" s="1489" t="s">
        <v>1444</v>
      </c>
      <c r="R20" s="1049" t="s">
        <v>1191</v>
      </c>
      <c r="S20" s="1051">
        <v>657000</v>
      </c>
      <c r="T20" s="1054"/>
      <c r="U20" s="1058" t="s">
        <v>1215</v>
      </c>
      <c r="V20" s="1062" t="s">
        <v>89</v>
      </c>
      <c r="W20" s="99" t="s">
        <v>66</v>
      </c>
      <c r="X20" s="1066" t="s">
        <v>90</v>
      </c>
      <c r="Y20" s="1066" t="s">
        <v>91</v>
      </c>
      <c r="Z20" s="1066" t="s">
        <v>92</v>
      </c>
      <c r="AA20" s="1064"/>
      <c r="AB20" s="1069" t="s">
        <v>27</v>
      </c>
      <c r="AC20" s="26" t="s">
        <v>85</v>
      </c>
    </row>
    <row r="21" spans="1:35" ht="123.75" customHeight="1">
      <c r="A21" s="86" t="s">
        <v>31</v>
      </c>
      <c r="B21" s="104" t="s">
        <v>264</v>
      </c>
      <c r="C21" s="834" t="s">
        <v>30</v>
      </c>
      <c r="D21" s="835" t="s">
        <v>1477</v>
      </c>
      <c r="E21" s="836" t="s">
        <v>148</v>
      </c>
      <c r="F21" s="157"/>
      <c r="G21" s="105" t="s">
        <v>135</v>
      </c>
      <c r="H21" s="24" t="s">
        <v>149</v>
      </c>
      <c r="I21" s="157"/>
      <c r="J21" s="24" t="s">
        <v>1223</v>
      </c>
      <c r="K21" s="1447" t="s">
        <v>1406</v>
      </c>
      <c r="L21" s="1448">
        <v>20000</v>
      </c>
      <c r="M21" s="158"/>
      <c r="N21" s="1449">
        <v>2690000</v>
      </c>
      <c r="O21" s="1414">
        <f>N21*0.6</f>
        <v>1614000</v>
      </c>
      <c r="P21" s="87">
        <f>O21*0.001*365*0.9</f>
        <v>530199</v>
      </c>
      <c r="Q21" s="893" t="s">
        <v>1444</v>
      </c>
      <c r="R21" s="161"/>
      <c r="S21" s="160"/>
      <c r="T21" s="87">
        <f>P21/0.112194</f>
        <v>4725733.9964703992</v>
      </c>
      <c r="U21" s="159"/>
      <c r="V21" s="162"/>
      <c r="W21" s="1335" t="s">
        <v>66</v>
      </c>
      <c r="X21" s="163"/>
      <c r="Y21" s="163"/>
      <c r="Z21" s="163"/>
      <c r="AA21" s="106" t="s">
        <v>265</v>
      </c>
      <c r="AB21" s="107"/>
      <c r="AC21" s="1010" t="s">
        <v>1407</v>
      </c>
      <c r="AD21" s="832"/>
      <c r="AE21" s="832"/>
      <c r="AF21" s="832"/>
      <c r="AG21" s="832"/>
      <c r="AH21" s="832"/>
      <c r="AI21" s="832"/>
    </row>
    <row r="22" spans="1:35" ht="15.75">
      <c r="A22" s="616"/>
      <c r="B22" s="669" t="s">
        <v>748</v>
      </c>
      <c r="C22" s="616"/>
      <c r="D22" s="527"/>
      <c r="E22" s="615"/>
      <c r="F22" s="527"/>
      <c r="G22" s="527"/>
      <c r="H22" s="527"/>
      <c r="I22" s="528"/>
      <c r="J22" s="951"/>
      <c r="K22" s="527"/>
      <c r="L22" s="527"/>
      <c r="M22" s="527"/>
      <c r="N22" s="527"/>
      <c r="O22" s="527"/>
      <c r="P22" s="527"/>
      <c r="Q22" s="527"/>
      <c r="R22" s="527"/>
      <c r="S22" s="527"/>
      <c r="T22" s="527"/>
      <c r="U22" s="527"/>
      <c r="V22" s="527"/>
      <c r="W22" s="527"/>
      <c r="X22" s="527"/>
      <c r="Y22" s="527"/>
      <c r="Z22" s="527"/>
      <c r="AA22" s="527"/>
      <c r="AB22" s="527"/>
      <c r="AC22" s="1328"/>
      <c r="AD22" s="832"/>
      <c r="AE22" s="832"/>
      <c r="AF22" s="832"/>
      <c r="AG22" s="832"/>
      <c r="AH22" s="832"/>
      <c r="AI22" s="832"/>
    </row>
    <row r="23" spans="1:35" ht="74.25" customHeight="1">
      <c r="A23" s="37" t="s">
        <v>96</v>
      </c>
      <c r="B23" s="53" t="s">
        <v>1707</v>
      </c>
      <c r="C23" s="1078" t="s">
        <v>30</v>
      </c>
      <c r="D23" s="1070" t="s">
        <v>1478</v>
      </c>
      <c r="E23" s="1080" t="s">
        <v>130</v>
      </c>
      <c r="F23" s="1079">
        <v>2018</v>
      </c>
      <c r="G23" s="1070" t="s">
        <v>135</v>
      </c>
      <c r="H23" s="1070" t="s">
        <v>131</v>
      </c>
      <c r="I23" s="1085"/>
      <c r="J23" s="1086"/>
      <c r="K23" s="1070" t="s">
        <v>132</v>
      </c>
      <c r="L23" s="58">
        <v>30000</v>
      </c>
      <c r="M23" s="1079"/>
      <c r="N23" s="1092"/>
      <c r="O23" s="1040">
        <v>450916.28614916286</v>
      </c>
      <c r="P23" s="1052">
        <v>148126</v>
      </c>
      <c r="Q23" s="918" t="s">
        <v>1446</v>
      </c>
      <c r="R23" s="72"/>
      <c r="S23" s="1040">
        <v>1320266.6809276787</v>
      </c>
      <c r="T23" s="1086"/>
      <c r="U23" s="1079"/>
      <c r="V23" s="1086"/>
      <c r="W23" s="1086" t="s">
        <v>66</v>
      </c>
      <c r="X23" s="1086"/>
      <c r="Y23" s="1086"/>
      <c r="Z23" s="1086"/>
      <c r="AA23" s="1086"/>
      <c r="AB23" s="1070" t="s">
        <v>27</v>
      </c>
      <c r="AC23" s="52" t="s">
        <v>1361</v>
      </c>
      <c r="AD23" s="832"/>
      <c r="AE23" s="832"/>
      <c r="AF23" s="832"/>
      <c r="AG23" s="832"/>
      <c r="AH23" s="832"/>
      <c r="AI23" s="832"/>
    </row>
    <row r="24" spans="1:35" ht="222" customHeight="1">
      <c r="A24" s="504" t="s">
        <v>96</v>
      </c>
      <c r="B24" s="506" t="s">
        <v>95</v>
      </c>
      <c r="C24" s="504" t="s">
        <v>30</v>
      </c>
      <c r="D24" s="504" t="s">
        <v>49</v>
      </c>
      <c r="E24" s="507" t="s">
        <v>50</v>
      </c>
      <c r="F24" s="504"/>
      <c r="G24" s="504" t="s">
        <v>135</v>
      </c>
      <c r="H24" s="505" t="s">
        <v>97</v>
      </c>
      <c r="I24" s="504"/>
      <c r="J24" s="504" t="s">
        <v>98</v>
      </c>
      <c r="K24" s="505" t="s">
        <v>1708</v>
      </c>
      <c r="L24" s="504"/>
      <c r="M24" s="504"/>
      <c r="N24" s="504"/>
      <c r="O24" s="508"/>
      <c r="P24" s="509">
        <v>42000</v>
      </c>
      <c r="Q24" s="914" t="s">
        <v>1444</v>
      </c>
      <c r="R24" s="508"/>
      <c r="S24" s="509"/>
      <c r="T24" s="504"/>
      <c r="U24" s="504"/>
      <c r="V24" s="504"/>
      <c r="W24" s="1336" t="s">
        <v>66</v>
      </c>
      <c r="X24" s="504"/>
      <c r="Y24" s="504"/>
      <c r="Z24" s="504"/>
      <c r="AA24" s="1443" t="s">
        <v>99</v>
      </c>
      <c r="AB24" s="504"/>
      <c r="AC24" s="504" t="s">
        <v>94</v>
      </c>
      <c r="AD24" s="832"/>
      <c r="AE24" s="832"/>
      <c r="AF24" s="832"/>
      <c r="AG24" s="832"/>
      <c r="AH24" s="832"/>
      <c r="AI24" s="832"/>
    </row>
    <row r="25" spans="1:35" ht="163.5">
      <c r="A25" s="37" t="s">
        <v>96</v>
      </c>
      <c r="B25" s="77" t="s">
        <v>134</v>
      </c>
      <c r="C25" s="27" t="s">
        <v>30</v>
      </c>
      <c r="D25" s="27" t="s">
        <v>49</v>
      </c>
      <c r="E25" s="78" t="s">
        <v>50</v>
      </c>
      <c r="F25" s="25"/>
      <c r="G25" s="27" t="s">
        <v>135</v>
      </c>
      <c r="H25" s="27" t="s">
        <v>52</v>
      </c>
      <c r="I25" s="27" t="s">
        <v>53</v>
      </c>
      <c r="J25" s="27" t="s">
        <v>98</v>
      </c>
      <c r="K25" s="1440" t="s">
        <v>136</v>
      </c>
      <c r="L25" s="76"/>
      <c r="M25" s="27"/>
      <c r="N25" s="80">
        <v>330000</v>
      </c>
      <c r="O25" s="81"/>
      <c r="P25" s="76"/>
      <c r="Q25" s="918" t="s">
        <v>1445</v>
      </c>
      <c r="R25" s="72"/>
      <c r="S25" s="76"/>
      <c r="T25" s="83"/>
      <c r="U25" s="84" t="s">
        <v>137</v>
      </c>
      <c r="V25" s="83"/>
      <c r="W25" s="1086" t="s">
        <v>66</v>
      </c>
      <c r="X25" s="75"/>
      <c r="Y25" s="75"/>
      <c r="Z25" s="75" t="s">
        <v>55</v>
      </c>
      <c r="AA25" s="75"/>
      <c r="AB25" s="27"/>
      <c r="AC25" s="73" t="s">
        <v>47</v>
      </c>
      <c r="AD25" s="832"/>
      <c r="AE25" s="832"/>
      <c r="AF25" s="832"/>
      <c r="AG25" s="832"/>
      <c r="AH25" s="832"/>
      <c r="AI25" s="832"/>
    </row>
    <row r="26" spans="1:35" ht="217.5">
      <c r="A26" s="65" t="s">
        <v>96</v>
      </c>
      <c r="B26" s="68" t="s">
        <v>100</v>
      </c>
      <c r="C26" s="65" t="s">
        <v>30</v>
      </c>
      <c r="D26" s="65" t="s">
        <v>49</v>
      </c>
      <c r="E26" s="69" t="s">
        <v>50</v>
      </c>
      <c r="F26" s="65"/>
      <c r="G26" s="65" t="s">
        <v>135</v>
      </c>
      <c r="H26" s="67" t="s">
        <v>97</v>
      </c>
      <c r="I26" s="65"/>
      <c r="J26" s="65" t="s">
        <v>98</v>
      </c>
      <c r="K26" s="67" t="s">
        <v>101</v>
      </c>
      <c r="L26" s="71">
        <v>7425</v>
      </c>
      <c r="M26" s="65"/>
      <c r="N26" s="65"/>
      <c r="O26" s="70"/>
      <c r="P26" s="71"/>
      <c r="Q26" s="915" t="s">
        <v>1444</v>
      </c>
      <c r="R26" s="70"/>
      <c r="S26" s="71"/>
      <c r="T26" s="65"/>
      <c r="U26" s="65"/>
      <c r="V26" s="65"/>
      <c r="W26" s="1336" t="s">
        <v>66</v>
      </c>
      <c r="X26" s="65"/>
      <c r="Y26" s="65"/>
      <c r="Z26" s="65"/>
      <c r="AA26" s="790" t="s">
        <v>99</v>
      </c>
      <c r="AB26" s="65"/>
      <c r="AC26" s="65" t="s">
        <v>94</v>
      </c>
      <c r="AD26" s="832"/>
      <c r="AE26" s="832"/>
      <c r="AF26" s="832"/>
      <c r="AG26" s="832"/>
      <c r="AH26" s="832"/>
      <c r="AI26" s="832"/>
    </row>
    <row r="27" spans="1:35" ht="190.5">
      <c r="A27" s="65" t="s">
        <v>96</v>
      </c>
      <c r="B27" s="68" t="s">
        <v>179</v>
      </c>
      <c r="C27" s="65" t="s">
        <v>30</v>
      </c>
      <c r="D27" s="65" t="s">
        <v>49</v>
      </c>
      <c r="E27" s="69" t="s">
        <v>50</v>
      </c>
      <c r="F27" s="65"/>
      <c r="G27" s="65" t="s">
        <v>135</v>
      </c>
      <c r="H27" s="65" t="s">
        <v>178</v>
      </c>
      <c r="I27" s="65"/>
      <c r="J27" s="65" t="s">
        <v>98</v>
      </c>
      <c r="K27" s="67" t="s">
        <v>180</v>
      </c>
      <c r="L27" s="65"/>
      <c r="M27" s="65"/>
      <c r="N27" s="65"/>
      <c r="O27" s="70"/>
      <c r="P27" s="71">
        <v>51000</v>
      </c>
      <c r="Q27" s="915" t="s">
        <v>1444</v>
      </c>
      <c r="R27" s="65"/>
      <c r="S27" s="71"/>
      <c r="T27" s="65"/>
      <c r="U27" s="65"/>
      <c r="V27" s="65"/>
      <c r="W27" s="1336" t="s">
        <v>66</v>
      </c>
      <c r="X27" s="65"/>
      <c r="Y27" s="65"/>
      <c r="Z27" s="65"/>
      <c r="AA27" s="790" t="s">
        <v>99</v>
      </c>
      <c r="AB27" s="65"/>
      <c r="AC27" s="65" t="s">
        <v>94</v>
      </c>
      <c r="AD27" s="832"/>
      <c r="AE27" s="832"/>
      <c r="AF27" s="832"/>
      <c r="AG27" s="832"/>
      <c r="AH27" s="832"/>
      <c r="AI27" s="832"/>
    </row>
    <row r="28" spans="1:35" ht="237" customHeight="1">
      <c r="A28" s="65" t="s">
        <v>96</v>
      </c>
      <c r="B28" s="68" t="s">
        <v>109</v>
      </c>
      <c r="C28" s="65" t="s">
        <v>30</v>
      </c>
      <c r="D28" s="65" t="s">
        <v>49</v>
      </c>
      <c r="E28" s="69" t="s">
        <v>50</v>
      </c>
      <c r="F28" s="65"/>
      <c r="G28" s="65" t="s">
        <v>135</v>
      </c>
      <c r="H28" s="67" t="s">
        <v>97</v>
      </c>
      <c r="I28" s="65"/>
      <c r="J28" s="65" t="s">
        <v>98</v>
      </c>
      <c r="K28" s="67" t="s">
        <v>110</v>
      </c>
      <c r="L28" s="65"/>
      <c r="M28" s="65"/>
      <c r="N28" s="65"/>
      <c r="O28" s="70"/>
      <c r="P28" s="71"/>
      <c r="Q28" s="915" t="s">
        <v>1444</v>
      </c>
      <c r="R28" s="70"/>
      <c r="S28" s="71"/>
      <c r="T28" s="65"/>
      <c r="U28" s="65"/>
      <c r="V28" s="65"/>
      <c r="W28" s="1336" t="s">
        <v>66</v>
      </c>
      <c r="X28" s="65"/>
      <c r="Y28" s="65"/>
      <c r="Z28" s="65"/>
      <c r="AA28" s="790" t="s">
        <v>99</v>
      </c>
      <c r="AB28" s="65"/>
      <c r="AC28" s="65" t="s">
        <v>94</v>
      </c>
      <c r="AD28" s="832"/>
      <c r="AE28" s="832"/>
      <c r="AF28" s="832"/>
      <c r="AG28" s="832"/>
      <c r="AH28" s="832"/>
      <c r="AI28" s="832"/>
    </row>
    <row r="29" spans="1:35" ht="163.5">
      <c r="A29" s="37" t="s">
        <v>96</v>
      </c>
      <c r="B29" s="77" t="s">
        <v>138</v>
      </c>
      <c r="C29" s="27" t="s">
        <v>30</v>
      </c>
      <c r="D29" s="27" t="s">
        <v>49</v>
      </c>
      <c r="E29" s="78" t="s">
        <v>50</v>
      </c>
      <c r="F29" s="25"/>
      <c r="G29" s="27" t="s">
        <v>135</v>
      </c>
      <c r="H29" s="27" t="s">
        <v>52</v>
      </c>
      <c r="I29" s="27" t="s">
        <v>53</v>
      </c>
      <c r="J29" s="27" t="s">
        <v>98</v>
      </c>
      <c r="K29" s="1440" t="s">
        <v>139</v>
      </c>
      <c r="L29" s="863">
        <v>9185</v>
      </c>
      <c r="M29" s="27"/>
      <c r="N29" s="80">
        <v>330000</v>
      </c>
      <c r="O29" s="81"/>
      <c r="P29" s="76"/>
      <c r="Q29" s="918" t="s">
        <v>1445</v>
      </c>
      <c r="R29" s="72"/>
      <c r="S29" s="76"/>
      <c r="T29" s="83"/>
      <c r="U29" s="84"/>
      <c r="V29" s="83"/>
      <c r="W29" s="1086" t="s">
        <v>66</v>
      </c>
      <c r="X29" s="75"/>
      <c r="Y29" s="75"/>
      <c r="Z29" s="75" t="s">
        <v>55</v>
      </c>
      <c r="AA29" s="75"/>
      <c r="AB29" s="27"/>
      <c r="AC29" s="73" t="s">
        <v>47</v>
      </c>
      <c r="AD29" s="832"/>
      <c r="AE29" s="832"/>
      <c r="AF29" s="832"/>
      <c r="AG29" s="832"/>
      <c r="AH29" s="832"/>
      <c r="AI29" s="832"/>
    </row>
    <row r="30" spans="1:35" ht="163.5">
      <c r="A30" s="37" t="s">
        <v>96</v>
      </c>
      <c r="B30" s="77" t="s">
        <v>140</v>
      </c>
      <c r="C30" s="27" t="s">
        <v>30</v>
      </c>
      <c r="D30" s="27" t="s">
        <v>49</v>
      </c>
      <c r="E30" s="78" t="s">
        <v>50</v>
      </c>
      <c r="F30" s="25"/>
      <c r="G30" s="27" t="s">
        <v>135</v>
      </c>
      <c r="H30" s="27" t="s">
        <v>52</v>
      </c>
      <c r="I30" s="27" t="s">
        <v>53</v>
      </c>
      <c r="J30" s="27" t="s">
        <v>98</v>
      </c>
      <c r="K30" s="1440" t="s">
        <v>141</v>
      </c>
      <c r="L30" s="863">
        <v>6395</v>
      </c>
      <c r="M30" s="27"/>
      <c r="N30" s="80">
        <v>330000</v>
      </c>
      <c r="O30" s="81"/>
      <c r="P30" s="76"/>
      <c r="Q30" s="918" t="s">
        <v>1445</v>
      </c>
      <c r="R30" s="72"/>
      <c r="S30" s="76"/>
      <c r="T30" s="83"/>
      <c r="U30" s="84"/>
      <c r="V30" s="83"/>
      <c r="W30" s="1086" t="s">
        <v>66</v>
      </c>
      <c r="X30" s="75"/>
      <c r="Y30" s="75"/>
      <c r="Z30" s="75" t="s">
        <v>55</v>
      </c>
      <c r="AA30" s="75"/>
      <c r="AB30" s="27"/>
      <c r="AC30" s="73" t="s">
        <v>47</v>
      </c>
      <c r="AD30" s="832"/>
      <c r="AE30" s="832"/>
      <c r="AF30" s="832"/>
      <c r="AG30" s="832"/>
      <c r="AH30" s="832"/>
      <c r="AI30" s="832"/>
    </row>
    <row r="31" spans="1:35" ht="226.5">
      <c r="A31" s="65" t="s">
        <v>96</v>
      </c>
      <c r="B31" s="68" t="s">
        <v>102</v>
      </c>
      <c r="C31" s="65" t="s">
        <v>30</v>
      </c>
      <c r="D31" s="65" t="s">
        <v>49</v>
      </c>
      <c r="E31" s="69" t="s">
        <v>50</v>
      </c>
      <c r="F31" s="65"/>
      <c r="G31" s="65" t="s">
        <v>135</v>
      </c>
      <c r="H31" s="67" t="s">
        <v>97</v>
      </c>
      <c r="I31" s="65"/>
      <c r="J31" s="65" t="s">
        <v>98</v>
      </c>
      <c r="K31" s="67" t="s">
        <v>103</v>
      </c>
      <c r="L31" s="71">
        <v>6949</v>
      </c>
      <c r="M31" s="65"/>
      <c r="N31" s="65"/>
      <c r="O31" s="70"/>
      <c r="P31" s="71">
        <v>33600</v>
      </c>
      <c r="Q31" s="915" t="s">
        <v>1444</v>
      </c>
      <c r="R31" s="70"/>
      <c r="S31" s="71"/>
      <c r="T31" s="65"/>
      <c r="U31" s="65"/>
      <c r="V31" s="65"/>
      <c r="W31" s="1336" t="s">
        <v>66</v>
      </c>
      <c r="X31" s="65"/>
      <c r="Y31" s="65"/>
      <c r="Z31" s="65"/>
      <c r="AA31" s="790" t="s">
        <v>99</v>
      </c>
      <c r="AB31" s="65"/>
      <c r="AC31" s="65" t="s">
        <v>94</v>
      </c>
      <c r="AD31" s="832"/>
      <c r="AE31" s="832"/>
      <c r="AF31" s="832"/>
      <c r="AG31" s="832"/>
      <c r="AH31" s="832"/>
      <c r="AI31" s="832"/>
    </row>
    <row r="32" spans="1:35" ht="181.5">
      <c r="A32" s="65" t="s">
        <v>96</v>
      </c>
      <c r="B32" s="68" t="s">
        <v>181</v>
      </c>
      <c r="C32" s="65" t="s">
        <v>30</v>
      </c>
      <c r="D32" s="65" t="s">
        <v>176</v>
      </c>
      <c r="E32" s="69" t="s">
        <v>50</v>
      </c>
      <c r="F32" s="65"/>
      <c r="G32" s="65" t="s">
        <v>135</v>
      </c>
      <c r="H32" s="65" t="s">
        <v>178</v>
      </c>
      <c r="I32" s="65"/>
      <c r="J32" s="65" t="s">
        <v>98</v>
      </c>
      <c r="K32" s="67" t="s">
        <v>182</v>
      </c>
      <c r="L32" s="65"/>
      <c r="M32" s="65"/>
      <c r="N32" s="65"/>
      <c r="O32" s="70"/>
      <c r="P32" s="71">
        <v>68000</v>
      </c>
      <c r="Q32" s="915" t="s">
        <v>1444</v>
      </c>
      <c r="R32" s="70"/>
      <c r="S32" s="71"/>
      <c r="T32" s="65"/>
      <c r="U32" s="65"/>
      <c r="V32" s="65"/>
      <c r="W32" s="1336" t="s">
        <v>66</v>
      </c>
      <c r="X32" s="65"/>
      <c r="Y32" s="65"/>
      <c r="Z32" s="65"/>
      <c r="AA32" s="790" t="s">
        <v>99</v>
      </c>
      <c r="AB32" s="65"/>
      <c r="AC32" s="65" t="s">
        <v>94</v>
      </c>
      <c r="AD32" s="832"/>
      <c r="AE32" s="832"/>
      <c r="AF32" s="832"/>
      <c r="AG32" s="832"/>
      <c r="AH32" s="832"/>
      <c r="AI32" s="832"/>
    </row>
    <row r="33" spans="1:35" ht="163.5">
      <c r="A33" s="37" t="s">
        <v>96</v>
      </c>
      <c r="B33" s="77" t="s">
        <v>142</v>
      </c>
      <c r="C33" s="27" t="s">
        <v>30</v>
      </c>
      <c r="D33" s="27" t="s">
        <v>49</v>
      </c>
      <c r="E33" s="78" t="s">
        <v>50</v>
      </c>
      <c r="F33" s="25"/>
      <c r="G33" s="27" t="s">
        <v>135</v>
      </c>
      <c r="H33" s="27" t="s">
        <v>52</v>
      </c>
      <c r="I33" s="27" t="s">
        <v>72</v>
      </c>
      <c r="J33" s="27" t="s">
        <v>98</v>
      </c>
      <c r="K33" s="1440" t="s">
        <v>143</v>
      </c>
      <c r="L33" s="863">
        <v>11209</v>
      </c>
      <c r="M33" s="27"/>
      <c r="N33" s="80">
        <v>330000</v>
      </c>
      <c r="O33" s="81"/>
      <c r="P33" s="76"/>
      <c r="Q33" s="918" t="s">
        <v>1445</v>
      </c>
      <c r="R33" s="72"/>
      <c r="S33" s="76"/>
      <c r="T33" s="83"/>
      <c r="U33" s="84"/>
      <c r="V33" s="83"/>
      <c r="W33" s="1086" t="s">
        <v>66</v>
      </c>
      <c r="X33" s="75"/>
      <c r="Y33" s="75"/>
      <c r="Z33" s="75" t="s">
        <v>55</v>
      </c>
      <c r="AA33" s="75"/>
      <c r="AB33" s="27"/>
      <c r="AC33" s="73" t="s">
        <v>47</v>
      </c>
      <c r="AD33" s="832"/>
      <c r="AE33" s="832"/>
      <c r="AF33" s="832"/>
      <c r="AG33" s="832"/>
      <c r="AH33" s="832"/>
      <c r="AI33" s="832"/>
    </row>
    <row r="34" spans="1:35" ht="181.5">
      <c r="A34" s="1072" t="s">
        <v>96</v>
      </c>
      <c r="B34" s="1075" t="s">
        <v>185</v>
      </c>
      <c r="C34" s="1072" t="s">
        <v>30</v>
      </c>
      <c r="D34" s="1072" t="s">
        <v>176</v>
      </c>
      <c r="E34" s="1081" t="s">
        <v>50</v>
      </c>
      <c r="F34" s="1072"/>
      <c r="G34" s="1072" t="s">
        <v>135</v>
      </c>
      <c r="H34" s="1072" t="s">
        <v>178</v>
      </c>
      <c r="I34" s="1072"/>
      <c r="J34" s="1072" t="s">
        <v>98</v>
      </c>
      <c r="K34" s="1074" t="s">
        <v>186</v>
      </c>
      <c r="L34" s="1072"/>
      <c r="M34" s="1072"/>
      <c r="N34" s="1094"/>
      <c r="O34" s="1098"/>
      <c r="P34" s="1099"/>
      <c r="Q34" s="1100" t="s">
        <v>1444</v>
      </c>
      <c r="R34" s="510"/>
      <c r="S34" s="1099"/>
      <c r="T34" s="1072"/>
      <c r="U34" s="1072"/>
      <c r="V34" s="1072"/>
      <c r="W34" s="1336" t="s">
        <v>66</v>
      </c>
      <c r="X34" s="1072"/>
      <c r="Y34" s="1072"/>
      <c r="Z34" s="1072"/>
      <c r="AA34" s="1444" t="s">
        <v>99</v>
      </c>
      <c r="AB34" s="1072"/>
      <c r="AC34" s="1072" t="s">
        <v>94</v>
      </c>
      <c r="AD34" s="832"/>
      <c r="AE34" s="832"/>
      <c r="AF34" s="832"/>
      <c r="AG34" s="832"/>
      <c r="AH34" s="832"/>
      <c r="AI34" s="832"/>
    </row>
    <row r="35" spans="1:35" ht="217.5">
      <c r="A35" s="65" t="s">
        <v>96</v>
      </c>
      <c r="B35" s="68" t="s">
        <v>104</v>
      </c>
      <c r="C35" s="65" t="s">
        <v>30</v>
      </c>
      <c r="D35" s="65" t="s">
        <v>49</v>
      </c>
      <c r="E35" s="69" t="s">
        <v>50</v>
      </c>
      <c r="F35" s="65"/>
      <c r="G35" s="65" t="s">
        <v>135</v>
      </c>
      <c r="H35" s="65" t="s">
        <v>97</v>
      </c>
      <c r="I35" s="65"/>
      <c r="J35" s="65" t="s">
        <v>98</v>
      </c>
      <c r="K35" s="67" t="s">
        <v>105</v>
      </c>
      <c r="L35" s="862">
        <v>6640</v>
      </c>
      <c r="M35" s="65"/>
      <c r="N35" s="65"/>
      <c r="O35" s="70"/>
      <c r="P35" s="71">
        <v>15600</v>
      </c>
      <c r="Q35" s="915" t="s">
        <v>1444</v>
      </c>
      <c r="R35" s="70"/>
      <c r="S35" s="71"/>
      <c r="T35" s="65"/>
      <c r="U35" s="65"/>
      <c r="V35" s="65"/>
      <c r="W35" s="1336" t="s">
        <v>66</v>
      </c>
      <c r="X35" s="65"/>
      <c r="Y35" s="65"/>
      <c r="Z35" s="65"/>
      <c r="AA35" s="790" t="s">
        <v>99</v>
      </c>
      <c r="AB35" s="65"/>
      <c r="AC35" s="65" t="s">
        <v>94</v>
      </c>
      <c r="AD35" s="832"/>
      <c r="AE35" s="832"/>
      <c r="AF35" s="832"/>
      <c r="AG35" s="832"/>
      <c r="AH35" s="832"/>
      <c r="AI35" s="832"/>
    </row>
    <row r="36" spans="1:35" ht="217.5">
      <c r="A36" s="504" t="s">
        <v>96</v>
      </c>
      <c r="B36" s="506" t="s">
        <v>106</v>
      </c>
      <c r="C36" s="504" t="s">
        <v>30</v>
      </c>
      <c r="D36" s="504" t="s">
        <v>49</v>
      </c>
      <c r="E36" s="507" t="s">
        <v>50</v>
      </c>
      <c r="F36" s="504"/>
      <c r="G36" s="504" t="s">
        <v>135</v>
      </c>
      <c r="H36" s="504" t="s">
        <v>97</v>
      </c>
      <c r="I36" s="504"/>
      <c r="J36" s="504" t="s">
        <v>98</v>
      </c>
      <c r="K36" s="505" t="s">
        <v>107</v>
      </c>
      <c r="L36" s="1087">
        <v>2100</v>
      </c>
      <c r="M36" s="504"/>
      <c r="N36" s="504"/>
      <c r="O36" s="508"/>
      <c r="P36" s="509">
        <v>15600</v>
      </c>
      <c r="Q36" s="914" t="s">
        <v>1444</v>
      </c>
      <c r="R36" s="508"/>
      <c r="S36" s="509"/>
      <c r="T36" s="504"/>
      <c r="U36" s="504"/>
      <c r="V36" s="504"/>
      <c r="W36" s="1336" t="s">
        <v>66</v>
      </c>
      <c r="X36" s="504"/>
      <c r="Y36" s="504"/>
      <c r="Z36" s="504"/>
      <c r="AA36" s="1443" t="s">
        <v>99</v>
      </c>
      <c r="AB36" s="504"/>
      <c r="AC36" s="504" t="s">
        <v>94</v>
      </c>
      <c r="AD36" s="832"/>
      <c r="AE36" s="832"/>
      <c r="AF36" s="832"/>
      <c r="AG36" s="832"/>
      <c r="AH36" s="832"/>
      <c r="AI36" s="832"/>
    </row>
    <row r="37" spans="1:35" ht="217.5">
      <c r="A37" s="504" t="s">
        <v>96</v>
      </c>
      <c r="B37" s="1075" t="s">
        <v>1483</v>
      </c>
      <c r="C37" s="504" t="s">
        <v>30</v>
      </c>
      <c r="D37" s="504" t="s">
        <v>49</v>
      </c>
      <c r="E37" s="507" t="s">
        <v>50</v>
      </c>
      <c r="F37" s="504"/>
      <c r="G37" s="504" t="s">
        <v>135</v>
      </c>
      <c r="H37" s="505" t="s">
        <v>97</v>
      </c>
      <c r="I37" s="504"/>
      <c r="J37" s="504" t="s">
        <v>98</v>
      </c>
      <c r="K37" s="1074" t="s">
        <v>108</v>
      </c>
      <c r="L37" s="1087">
        <v>10560</v>
      </c>
      <c r="M37" s="504"/>
      <c r="N37" s="504"/>
      <c r="O37" s="508"/>
      <c r="P37" s="509">
        <v>75000</v>
      </c>
      <c r="Q37" s="914" t="s">
        <v>1444</v>
      </c>
      <c r="R37" s="70"/>
      <c r="S37" s="509"/>
      <c r="T37" s="504"/>
      <c r="U37" s="504"/>
      <c r="V37" s="504"/>
      <c r="W37" s="1336" t="s">
        <v>66</v>
      </c>
      <c r="X37" s="504"/>
      <c r="Y37" s="504"/>
      <c r="Z37" s="504"/>
      <c r="AA37" s="1443" t="s">
        <v>99</v>
      </c>
      <c r="AB37" s="504"/>
      <c r="AC37" s="504" t="s">
        <v>94</v>
      </c>
      <c r="AD37" s="832"/>
      <c r="AE37" s="832"/>
      <c r="AF37" s="832"/>
      <c r="AG37" s="832"/>
      <c r="AH37" s="832"/>
      <c r="AI37" s="832"/>
    </row>
    <row r="38" spans="1:35" ht="182.25" customHeight="1">
      <c r="A38" s="54" t="s">
        <v>96</v>
      </c>
      <c r="B38" s="77" t="s">
        <v>153</v>
      </c>
      <c r="C38" s="27" t="s">
        <v>30</v>
      </c>
      <c r="D38" s="27" t="s">
        <v>49</v>
      </c>
      <c r="E38" s="78" t="s">
        <v>50</v>
      </c>
      <c r="F38" s="25"/>
      <c r="G38" s="79" t="s">
        <v>135</v>
      </c>
      <c r="H38" s="27" t="s">
        <v>52</v>
      </c>
      <c r="I38" s="27" t="s">
        <v>98</v>
      </c>
      <c r="J38" s="27" t="s">
        <v>98</v>
      </c>
      <c r="K38" s="1440" t="s">
        <v>154</v>
      </c>
      <c r="L38" s="76"/>
      <c r="M38" s="27"/>
      <c r="N38" s="80">
        <v>330000</v>
      </c>
      <c r="O38" s="81"/>
      <c r="P38" s="76"/>
      <c r="Q38" s="918" t="s">
        <v>1445</v>
      </c>
      <c r="R38" s="72"/>
      <c r="S38" s="76"/>
      <c r="T38" s="83"/>
      <c r="U38" s="84"/>
      <c r="V38" s="83"/>
      <c r="W38" s="1086" t="s">
        <v>66</v>
      </c>
      <c r="X38" s="75"/>
      <c r="Y38" s="75"/>
      <c r="Z38" s="75" t="s">
        <v>55</v>
      </c>
      <c r="AA38" s="75"/>
      <c r="AB38" s="27"/>
      <c r="AC38" s="74" t="s">
        <v>47</v>
      </c>
      <c r="AD38" s="832"/>
      <c r="AE38" s="832"/>
      <c r="AF38" s="832"/>
      <c r="AG38" s="832"/>
      <c r="AH38" s="832"/>
      <c r="AI38" s="832"/>
    </row>
    <row r="39" spans="1:35" ht="87" customHeight="1">
      <c r="A39" s="532" t="s">
        <v>96</v>
      </c>
      <c r="B39" s="793" t="s">
        <v>1335</v>
      </c>
      <c r="C39" s="792" t="s">
        <v>177</v>
      </c>
      <c r="D39" s="794" t="s">
        <v>1479</v>
      </c>
      <c r="E39" s="795" t="s">
        <v>1336</v>
      </c>
      <c r="F39" s="65" t="s">
        <v>1337</v>
      </c>
      <c r="G39" s="66" t="s">
        <v>135</v>
      </c>
      <c r="H39" s="789" t="s">
        <v>1338</v>
      </c>
      <c r="I39" s="789" t="s">
        <v>1339</v>
      </c>
      <c r="J39" s="65"/>
      <c r="K39" s="65" t="s">
        <v>1342</v>
      </c>
      <c r="L39" s="796" t="s">
        <v>168</v>
      </c>
      <c r="M39" s="71"/>
      <c r="N39" s="797"/>
      <c r="O39" s="798"/>
      <c r="P39" s="791">
        <f>700*365</f>
        <v>255500</v>
      </c>
      <c r="Q39" s="916" t="s">
        <v>1444</v>
      </c>
      <c r="R39" s="70" t="s">
        <v>405</v>
      </c>
      <c r="S39" s="803">
        <f>P39/0.112194</f>
        <v>2277305.3817494698</v>
      </c>
      <c r="T39" s="799"/>
      <c r="U39" s="800"/>
      <c r="V39" s="801"/>
      <c r="W39" s="1336" t="s">
        <v>66</v>
      </c>
      <c r="X39" s="802" t="s">
        <v>1340</v>
      </c>
      <c r="Y39" s="802" t="s">
        <v>348</v>
      </c>
      <c r="Z39" s="792"/>
      <c r="AA39" s="794"/>
      <c r="AB39" s="65"/>
      <c r="AC39" s="532" t="s">
        <v>1341</v>
      </c>
      <c r="AD39" s="832"/>
      <c r="AE39" s="832"/>
      <c r="AF39" s="832"/>
      <c r="AG39" s="832"/>
      <c r="AH39" s="832"/>
      <c r="AI39" s="832"/>
    </row>
    <row r="40" spans="1:35" ht="48" customHeight="1">
      <c r="A40" s="614" t="s">
        <v>96</v>
      </c>
      <c r="B40" s="1410" t="s">
        <v>1345</v>
      </c>
      <c r="C40" s="805" t="s">
        <v>177</v>
      </c>
      <c r="D40" s="805" t="s">
        <v>1332</v>
      </c>
      <c r="E40" s="806" t="s">
        <v>1346</v>
      </c>
      <c r="F40" s="807" t="s">
        <v>1347</v>
      </c>
      <c r="G40" s="1083" t="s">
        <v>135</v>
      </c>
      <c r="H40" s="805" t="s">
        <v>1348</v>
      </c>
      <c r="I40" s="805" t="s">
        <v>1339</v>
      </c>
      <c r="J40" s="805" t="s">
        <v>1333</v>
      </c>
      <c r="K40" s="807" t="s">
        <v>1351</v>
      </c>
      <c r="L40" s="526">
        <v>4250</v>
      </c>
      <c r="M40" s="805" t="s">
        <v>184</v>
      </c>
      <c r="N40" s="809">
        <f>O40/0.6</f>
        <v>622222.22222222225</v>
      </c>
      <c r="O40" s="809">
        <f>P40/(0.001*365*0.9)</f>
        <v>373333.33333333331</v>
      </c>
      <c r="P40" s="526">
        <f>336*365</f>
        <v>122640</v>
      </c>
      <c r="Q40" s="893" t="s">
        <v>1444</v>
      </c>
      <c r="R40" s="805" t="s">
        <v>38</v>
      </c>
      <c r="S40" s="809">
        <f>P40/0.112194</f>
        <v>1093106.5832397453</v>
      </c>
      <c r="T40" s="805"/>
      <c r="U40" s="805" t="s">
        <v>66</v>
      </c>
      <c r="V40" s="526">
        <f>5300000/2200</f>
        <v>2409.090909090909</v>
      </c>
      <c r="W40" s="1336" t="s">
        <v>66</v>
      </c>
      <c r="X40" s="525" t="s">
        <v>1349</v>
      </c>
      <c r="Y40" s="524" t="s">
        <v>173</v>
      </c>
      <c r="Z40" s="525" t="s">
        <v>1350</v>
      </c>
      <c r="AA40" s="524" t="s">
        <v>1352</v>
      </c>
      <c r="AB40" s="524" t="s">
        <v>27</v>
      </c>
      <c r="AC40" s="1073" t="s">
        <v>1334</v>
      </c>
      <c r="AD40" s="832"/>
      <c r="AE40" s="832"/>
      <c r="AF40" s="832"/>
      <c r="AG40" s="832"/>
      <c r="AH40" s="832"/>
      <c r="AI40" s="832"/>
    </row>
    <row r="41" spans="1:35" ht="93" customHeight="1">
      <c r="A41" s="555" t="s">
        <v>1279</v>
      </c>
      <c r="B41" s="1410" t="s">
        <v>1278</v>
      </c>
      <c r="C41" s="805" t="s">
        <v>1273</v>
      </c>
      <c r="D41" s="805" t="s">
        <v>671</v>
      </c>
      <c r="E41" s="806" t="s">
        <v>162</v>
      </c>
      <c r="F41" s="805" t="s">
        <v>1280</v>
      </c>
      <c r="G41" s="1083" t="s">
        <v>135</v>
      </c>
      <c r="H41" s="805" t="s">
        <v>1274</v>
      </c>
      <c r="I41" s="805" t="s">
        <v>1275</v>
      </c>
      <c r="J41" s="805" t="s">
        <v>1276</v>
      </c>
      <c r="K41" s="807" t="s">
        <v>1277</v>
      </c>
      <c r="L41" s="810" t="s">
        <v>1353</v>
      </c>
      <c r="M41" s="526">
        <v>90000</v>
      </c>
      <c r="N41" s="539"/>
      <c r="O41" s="809">
        <v>1777778</v>
      </c>
      <c r="P41" s="526">
        <v>584000</v>
      </c>
      <c r="Q41" s="1415" t="s">
        <v>1444</v>
      </c>
      <c r="R41" s="525" t="s">
        <v>1354</v>
      </c>
      <c r="S41" s="809">
        <v>5205269</v>
      </c>
      <c r="T41" s="805"/>
      <c r="U41" s="524" t="s">
        <v>1281</v>
      </c>
      <c r="V41" s="539"/>
      <c r="W41" s="1336" t="s">
        <v>66</v>
      </c>
      <c r="X41" s="807" t="s">
        <v>1709</v>
      </c>
      <c r="Y41" s="525" t="s">
        <v>1355</v>
      </c>
      <c r="Z41" s="525" t="s">
        <v>1356</v>
      </c>
      <c r="AA41" s="525" t="s">
        <v>1357</v>
      </c>
      <c r="AB41" s="524" t="s">
        <v>27</v>
      </c>
      <c r="AC41" s="531" t="s">
        <v>1282</v>
      </c>
      <c r="AD41" s="832"/>
      <c r="AE41" s="832"/>
      <c r="AF41" s="832"/>
      <c r="AG41" s="832"/>
      <c r="AH41" s="832"/>
      <c r="AI41" s="832"/>
    </row>
    <row r="42" spans="1:35" ht="97.5" customHeight="1">
      <c r="A42" s="51" t="s">
        <v>96</v>
      </c>
      <c r="B42" s="1077" t="s">
        <v>112</v>
      </c>
      <c r="C42" s="556" t="s">
        <v>41</v>
      </c>
      <c r="D42" s="789" t="s">
        <v>113</v>
      </c>
      <c r="E42" s="1326" t="s">
        <v>81</v>
      </c>
      <c r="F42" s="790" t="s">
        <v>114</v>
      </c>
      <c r="G42" s="790" t="s">
        <v>135</v>
      </c>
      <c r="H42" s="1084" t="s">
        <v>116</v>
      </c>
      <c r="I42" s="789" t="s">
        <v>44</v>
      </c>
      <c r="J42" s="557"/>
      <c r="K42" s="113" t="s">
        <v>1710</v>
      </c>
      <c r="L42" s="1089"/>
      <c r="M42" s="1091">
        <v>1000000</v>
      </c>
      <c r="N42" s="1093">
        <v>13000000</v>
      </c>
      <c r="O42" s="1097">
        <v>7500000</v>
      </c>
      <c r="P42" s="791">
        <v>2700000</v>
      </c>
      <c r="Q42" s="920" t="s">
        <v>1443</v>
      </c>
      <c r="R42" s="72"/>
      <c r="S42" s="1102">
        <v>20805000</v>
      </c>
      <c r="T42" s="1104">
        <v>20805000</v>
      </c>
      <c r="U42" s="1105" t="s">
        <v>1711</v>
      </c>
      <c r="V42" s="1106"/>
      <c r="W42" s="1086" t="s">
        <v>66</v>
      </c>
      <c r="X42" s="1107"/>
      <c r="Y42" s="1107"/>
      <c r="Z42" s="556"/>
      <c r="AA42" s="1084" t="s">
        <v>83</v>
      </c>
      <c r="AB42" s="557"/>
      <c r="AC42" s="51" t="s">
        <v>111</v>
      </c>
      <c r="AD42" s="832"/>
      <c r="AE42" s="832"/>
      <c r="AF42" s="832"/>
      <c r="AG42" s="832"/>
      <c r="AH42" s="832"/>
      <c r="AI42" s="832"/>
    </row>
    <row r="43" spans="1:35" ht="61.5" customHeight="1">
      <c r="A43" s="86" t="s">
        <v>96</v>
      </c>
      <c r="B43" s="85" t="s">
        <v>156</v>
      </c>
      <c r="C43" s="24" t="s">
        <v>1712</v>
      </c>
      <c r="D43" s="24" t="s">
        <v>157</v>
      </c>
      <c r="E43" s="1452" t="s">
        <v>81</v>
      </c>
      <c r="F43" s="24" t="s">
        <v>122</v>
      </c>
      <c r="G43" s="24" t="s">
        <v>135</v>
      </c>
      <c r="H43" s="24" t="s">
        <v>82</v>
      </c>
      <c r="I43" s="24"/>
      <c r="J43" s="24" t="s">
        <v>158</v>
      </c>
      <c r="K43" s="1453" t="s">
        <v>159</v>
      </c>
      <c r="L43" s="610" t="s">
        <v>160</v>
      </c>
      <c r="M43" s="24"/>
      <c r="N43" s="610"/>
      <c r="O43" s="1096"/>
      <c r="P43" s="80">
        <v>140000</v>
      </c>
      <c r="Q43" s="919" t="s">
        <v>1443</v>
      </c>
      <c r="R43" s="70"/>
      <c r="S43" s="87">
        <f>P43/0.112194</f>
        <v>1247838.5653421751</v>
      </c>
      <c r="T43" s="89"/>
      <c r="U43" s="88"/>
      <c r="V43" s="89"/>
      <c r="W43" s="1336" t="s">
        <v>66</v>
      </c>
      <c r="X43" s="90"/>
      <c r="Y43" s="90"/>
      <c r="Z43" s="90"/>
      <c r="AA43" s="90" t="s">
        <v>161</v>
      </c>
      <c r="AB43" s="24"/>
      <c r="AC43" s="67" t="s">
        <v>155</v>
      </c>
      <c r="AD43" s="832"/>
      <c r="AE43" s="832"/>
      <c r="AF43" s="832"/>
      <c r="AG43" s="832"/>
      <c r="AH43" s="832"/>
      <c r="AI43" s="832"/>
    </row>
    <row r="44" spans="1:35" ht="111" customHeight="1">
      <c r="A44" s="54" t="s">
        <v>96</v>
      </c>
      <c r="B44" s="1076" t="s">
        <v>119</v>
      </c>
      <c r="C44" s="93" t="s">
        <v>30</v>
      </c>
      <c r="D44" s="93" t="s">
        <v>120</v>
      </c>
      <c r="E44" s="1351" t="s">
        <v>121</v>
      </c>
      <c r="F44" s="74" t="s">
        <v>122</v>
      </c>
      <c r="G44" s="92" t="s">
        <v>135</v>
      </c>
      <c r="H44" s="93" t="s">
        <v>124</v>
      </c>
      <c r="I44" s="93" t="s">
        <v>60</v>
      </c>
      <c r="J44" s="93" t="s">
        <v>125</v>
      </c>
      <c r="K44" s="93" t="s">
        <v>126</v>
      </c>
      <c r="L44" s="1088">
        <v>6900</v>
      </c>
      <c r="M44" s="1090" t="s">
        <v>127</v>
      </c>
      <c r="N44" s="93"/>
      <c r="O44" s="1095">
        <v>462675</v>
      </c>
      <c r="P44" s="1088">
        <v>165000</v>
      </c>
      <c r="Q44" s="917" t="s">
        <v>1445</v>
      </c>
      <c r="R44" s="72"/>
      <c r="S44" s="1088">
        <v>1100000</v>
      </c>
      <c r="T44" s="1103">
        <v>1447000</v>
      </c>
      <c r="U44" s="519"/>
      <c r="V44" s="1103">
        <v>54725</v>
      </c>
      <c r="W44" s="1086" t="s">
        <v>66</v>
      </c>
      <c r="X44" s="512"/>
      <c r="Y44" s="512" t="s">
        <v>128</v>
      </c>
      <c r="Z44" s="512" t="s">
        <v>129</v>
      </c>
      <c r="AA44" s="512" t="s">
        <v>1713</v>
      </c>
      <c r="AB44" s="512"/>
      <c r="AC44" s="93" t="s">
        <v>118</v>
      </c>
      <c r="AD44" s="832"/>
      <c r="AE44" s="832"/>
      <c r="AF44" s="832"/>
      <c r="AG44" s="832"/>
      <c r="AH44" s="832"/>
      <c r="AI44" s="832"/>
    </row>
    <row r="45" spans="1:35" ht="53.25" customHeight="1">
      <c r="A45" s="62" t="s">
        <v>96</v>
      </c>
      <c r="B45" s="12" t="s">
        <v>146</v>
      </c>
      <c r="C45" s="11" t="s">
        <v>30</v>
      </c>
      <c r="D45" s="11" t="s">
        <v>147</v>
      </c>
      <c r="E45" s="13" t="s">
        <v>148</v>
      </c>
      <c r="F45" s="1082"/>
      <c r="G45" s="11" t="s">
        <v>135</v>
      </c>
      <c r="H45" s="11" t="s">
        <v>149</v>
      </c>
      <c r="I45" s="14" t="s">
        <v>150</v>
      </c>
      <c r="J45" s="11" t="s">
        <v>1223</v>
      </c>
      <c r="K45" s="1442" t="s">
        <v>151</v>
      </c>
      <c r="L45" s="34">
        <v>8500</v>
      </c>
      <c r="M45" s="34">
        <v>128000</v>
      </c>
      <c r="N45" s="34">
        <v>1200000</v>
      </c>
      <c r="O45" s="17">
        <f>N45*0.6</f>
        <v>720000</v>
      </c>
      <c r="P45" s="18">
        <f>O45*0.001*365*0.9</f>
        <v>236520</v>
      </c>
      <c r="Q45" s="919" t="s">
        <v>1443</v>
      </c>
      <c r="R45" s="70"/>
      <c r="S45" s="1101"/>
      <c r="T45" s="18">
        <f>236520/0.112194</f>
        <v>2108134.1248195092</v>
      </c>
      <c r="U45" s="21"/>
      <c r="V45" s="20"/>
      <c r="W45" s="1336" t="s">
        <v>66</v>
      </c>
      <c r="X45" s="22"/>
      <c r="Y45" s="22"/>
      <c r="Z45" s="22" t="s">
        <v>152</v>
      </c>
      <c r="AA45" s="22"/>
      <c r="AB45" s="11"/>
      <c r="AC45" s="10" t="s">
        <v>145</v>
      </c>
      <c r="AD45" s="832"/>
      <c r="AE45" s="832"/>
      <c r="AF45" s="832"/>
      <c r="AG45" s="832"/>
      <c r="AH45" s="832"/>
      <c r="AI45" s="832"/>
    </row>
    <row r="46" spans="1:35" ht="15.75">
      <c r="A46" s="616"/>
      <c r="B46" s="615" t="s">
        <v>187</v>
      </c>
      <c r="C46" s="616"/>
      <c r="D46" s="616"/>
      <c r="E46" s="617"/>
      <c r="F46" s="618"/>
      <c r="G46" s="618"/>
      <c r="H46" s="619"/>
      <c r="I46" s="620"/>
      <c r="J46" s="952"/>
      <c r="K46" s="621"/>
      <c r="L46" s="621"/>
      <c r="M46" s="621"/>
      <c r="N46" s="621"/>
      <c r="O46" s="621"/>
      <c r="P46" s="621"/>
      <c r="Q46" s="621"/>
      <c r="R46" s="622"/>
      <c r="S46" s="622"/>
      <c r="T46" s="622"/>
      <c r="U46" s="623"/>
      <c r="V46" s="624"/>
      <c r="W46" s="625"/>
      <c r="X46" s="624"/>
      <c r="Y46" s="626"/>
      <c r="Z46" s="623"/>
      <c r="AA46" s="627"/>
      <c r="AB46" s="626"/>
      <c r="AC46" s="1329"/>
      <c r="AD46" s="832"/>
      <c r="AE46" s="832"/>
      <c r="AF46" s="832"/>
      <c r="AG46" s="832"/>
      <c r="AH46" s="832"/>
      <c r="AI46" s="832"/>
    </row>
    <row r="47" spans="1:35" ht="48" customHeight="1">
      <c r="A47" s="93" t="s">
        <v>1441</v>
      </c>
      <c r="B47" s="511" t="s">
        <v>189</v>
      </c>
      <c r="C47" s="512" t="s">
        <v>30</v>
      </c>
      <c r="D47" s="513" t="s">
        <v>1478</v>
      </c>
      <c r="E47" s="514" t="s">
        <v>130</v>
      </c>
      <c r="F47" s="93"/>
      <c r="G47" s="93" t="s">
        <v>135</v>
      </c>
      <c r="H47" s="513"/>
      <c r="I47" s="513"/>
      <c r="J47" s="93"/>
      <c r="K47" s="93" t="s">
        <v>191</v>
      </c>
      <c r="L47" s="515">
        <v>10000</v>
      </c>
      <c r="M47" s="93"/>
      <c r="N47" s="93"/>
      <c r="O47" s="516"/>
      <c r="P47" s="517"/>
      <c r="Q47" s="921" t="s">
        <v>1446</v>
      </c>
      <c r="R47" s="517"/>
      <c r="S47" s="518">
        <f>P47/0.112194</f>
        <v>0</v>
      </c>
      <c r="T47" s="519"/>
      <c r="U47" s="519"/>
      <c r="V47" s="520"/>
      <c r="W47" s="93"/>
      <c r="X47" s="521"/>
      <c r="Y47" s="521"/>
      <c r="Z47" s="512"/>
      <c r="AA47" s="521"/>
      <c r="AB47" s="512" t="s">
        <v>27</v>
      </c>
      <c r="AC47" s="93" t="s">
        <v>188</v>
      </c>
      <c r="AD47" s="832"/>
      <c r="AE47" s="832"/>
      <c r="AF47" s="832"/>
      <c r="AG47" s="832"/>
      <c r="AH47" s="832"/>
      <c r="AI47" s="832"/>
    </row>
    <row r="48" spans="1:35" ht="135.75" customHeight="1">
      <c r="A48" s="29" t="s">
        <v>194</v>
      </c>
      <c r="B48" s="134" t="s">
        <v>272</v>
      </c>
      <c r="C48" s="29" t="s">
        <v>273</v>
      </c>
      <c r="D48" s="29" t="s">
        <v>274</v>
      </c>
      <c r="E48" s="135" t="s">
        <v>175</v>
      </c>
      <c r="F48" s="29">
        <v>2006</v>
      </c>
      <c r="G48" s="93" t="s">
        <v>135</v>
      </c>
      <c r="H48" s="29" t="s">
        <v>275</v>
      </c>
      <c r="I48" s="29"/>
      <c r="J48" s="29"/>
      <c r="K48" s="29" t="s">
        <v>276</v>
      </c>
      <c r="L48" s="122"/>
      <c r="M48" s="122"/>
      <c r="N48" s="122"/>
      <c r="O48" s="122"/>
      <c r="P48" s="122"/>
      <c r="Q48" s="922" t="s">
        <v>1443</v>
      </c>
      <c r="R48" s="29"/>
      <c r="S48" s="122"/>
      <c r="T48" s="136"/>
      <c r="U48" s="136"/>
      <c r="V48" s="137"/>
      <c r="W48" s="36">
        <v>2012</v>
      </c>
      <c r="X48" s="36"/>
      <c r="Y48" s="36"/>
      <c r="Z48" s="36"/>
      <c r="AA48" s="36"/>
      <c r="AB48" s="29"/>
      <c r="AC48" s="29" t="s">
        <v>1398</v>
      </c>
      <c r="AD48" s="832"/>
      <c r="AE48" s="832"/>
      <c r="AF48" s="832"/>
      <c r="AG48" s="832"/>
      <c r="AH48" s="832"/>
      <c r="AI48" s="832"/>
    </row>
    <row r="49" spans="1:35" ht="36" customHeight="1">
      <c r="A49" s="29" t="s">
        <v>194</v>
      </c>
      <c r="B49" s="134" t="s">
        <v>193</v>
      </c>
      <c r="C49" s="29" t="s">
        <v>30</v>
      </c>
      <c r="D49" s="126" t="s">
        <v>195</v>
      </c>
      <c r="E49" s="127" t="s">
        <v>196</v>
      </c>
      <c r="F49" s="128">
        <v>2008</v>
      </c>
      <c r="G49" s="93" t="s">
        <v>135</v>
      </c>
      <c r="H49" s="29"/>
      <c r="I49" s="36" t="s">
        <v>197</v>
      </c>
      <c r="J49" s="29"/>
      <c r="K49" s="29"/>
      <c r="L49" s="128"/>
      <c r="M49" s="29"/>
      <c r="N49" s="29"/>
      <c r="O49" s="121"/>
      <c r="P49" s="122"/>
      <c r="Q49" s="922" t="s">
        <v>1443</v>
      </c>
      <c r="R49" s="122"/>
      <c r="S49" s="123"/>
      <c r="T49" s="124"/>
      <c r="U49" s="124"/>
      <c r="V49" s="29"/>
      <c r="W49" s="129">
        <v>2009</v>
      </c>
      <c r="X49" s="129" t="s">
        <v>65</v>
      </c>
      <c r="Y49" s="129"/>
      <c r="Z49" s="36" t="s">
        <v>198</v>
      </c>
      <c r="AA49" s="36"/>
      <c r="AB49" s="29"/>
      <c r="AC49" s="125" t="s">
        <v>192</v>
      </c>
      <c r="AD49" s="832"/>
      <c r="AE49" s="832"/>
      <c r="AF49" s="832"/>
      <c r="AG49" s="832"/>
      <c r="AH49" s="832"/>
      <c r="AI49" s="832"/>
    </row>
    <row r="50" spans="1:35" ht="40.5" customHeight="1">
      <c r="A50" s="29" t="s">
        <v>194</v>
      </c>
      <c r="B50" s="134" t="s">
        <v>200</v>
      </c>
      <c r="C50" s="29" t="s">
        <v>30</v>
      </c>
      <c r="D50" s="126" t="s">
        <v>201</v>
      </c>
      <c r="E50" s="127" t="s">
        <v>196</v>
      </c>
      <c r="F50" s="128">
        <v>2004</v>
      </c>
      <c r="G50" s="93" t="s">
        <v>135</v>
      </c>
      <c r="H50" s="29"/>
      <c r="I50" s="36" t="s">
        <v>197</v>
      </c>
      <c r="J50" s="29"/>
      <c r="K50" s="29"/>
      <c r="L50" s="130">
        <v>2900</v>
      </c>
      <c r="M50" s="29"/>
      <c r="N50" s="29"/>
      <c r="O50" s="131">
        <v>55700</v>
      </c>
      <c r="P50" s="132">
        <f>O50*0.001*365*0.9</f>
        <v>18297.45</v>
      </c>
      <c r="Q50" s="922" t="s">
        <v>1443</v>
      </c>
      <c r="R50" s="122"/>
      <c r="S50" s="133">
        <f>O50/0.112194</f>
        <v>496461.48635399394</v>
      </c>
      <c r="T50" s="124"/>
      <c r="U50" s="124"/>
      <c r="V50" s="29"/>
      <c r="W50" s="129">
        <v>2009</v>
      </c>
      <c r="X50" s="129" t="s">
        <v>65</v>
      </c>
      <c r="Y50" s="129"/>
      <c r="Z50" s="36" t="s">
        <v>198</v>
      </c>
      <c r="AA50" s="36" t="s">
        <v>202</v>
      </c>
      <c r="AB50" s="29"/>
      <c r="AC50" s="125" t="s">
        <v>199</v>
      </c>
      <c r="AD50" s="832"/>
      <c r="AE50" s="832"/>
      <c r="AF50" s="832"/>
      <c r="AG50" s="832"/>
      <c r="AH50" s="832"/>
      <c r="AI50" s="832"/>
    </row>
    <row r="51" spans="1:35" ht="47.25" customHeight="1">
      <c r="A51" s="29" t="s">
        <v>1440</v>
      </c>
      <c r="B51" s="134" t="s">
        <v>204</v>
      </c>
      <c r="C51" s="29" t="s">
        <v>30</v>
      </c>
      <c r="D51" s="29" t="s">
        <v>205</v>
      </c>
      <c r="E51" s="135" t="s">
        <v>162</v>
      </c>
      <c r="F51" s="29"/>
      <c r="G51" s="93" t="s">
        <v>135</v>
      </c>
      <c r="H51" s="29" t="s">
        <v>206</v>
      </c>
      <c r="I51" s="29" t="s">
        <v>44</v>
      </c>
      <c r="J51" s="29"/>
      <c r="K51" s="29" t="s">
        <v>207</v>
      </c>
      <c r="L51" s="122">
        <v>2000</v>
      </c>
      <c r="M51" s="122"/>
      <c r="N51" s="122"/>
      <c r="O51" s="122"/>
      <c r="P51" s="122"/>
      <c r="Q51" s="923" t="s">
        <v>1444</v>
      </c>
      <c r="R51" s="122"/>
      <c r="S51" s="122"/>
      <c r="T51" s="136"/>
      <c r="U51" s="136"/>
      <c r="V51" s="137"/>
      <c r="W51" s="36"/>
      <c r="X51" s="36"/>
      <c r="Y51" s="36"/>
      <c r="Z51" s="36"/>
      <c r="AA51" s="36"/>
      <c r="AB51" s="609"/>
      <c r="AC51" s="29" t="s">
        <v>203</v>
      </c>
      <c r="AD51" s="832"/>
      <c r="AE51" s="832"/>
      <c r="AF51" s="832"/>
      <c r="AG51" s="832"/>
      <c r="AH51" s="832"/>
      <c r="AI51" s="832"/>
    </row>
    <row r="52" spans="1:35" ht="118.5" customHeight="1">
      <c r="A52" s="29" t="s">
        <v>194</v>
      </c>
      <c r="B52" s="134" t="s">
        <v>209</v>
      </c>
      <c r="C52" s="29" t="s">
        <v>210</v>
      </c>
      <c r="D52" s="29" t="s">
        <v>211</v>
      </c>
      <c r="E52" s="135" t="s">
        <v>212</v>
      </c>
      <c r="F52" s="29">
        <v>2006</v>
      </c>
      <c r="G52" s="93" t="s">
        <v>135</v>
      </c>
      <c r="H52" s="29" t="s">
        <v>213</v>
      </c>
      <c r="I52" s="29" t="s">
        <v>44</v>
      </c>
      <c r="J52" s="29" t="s">
        <v>214</v>
      </c>
      <c r="K52" s="29" t="s">
        <v>215</v>
      </c>
      <c r="L52" s="138" t="s">
        <v>216</v>
      </c>
      <c r="M52" s="122"/>
      <c r="N52" s="122"/>
      <c r="O52" s="132">
        <v>324000</v>
      </c>
      <c r="P52" s="132">
        <f>O52*0.001*365*0.9</f>
        <v>106434</v>
      </c>
      <c r="Q52" s="923" t="s">
        <v>1443</v>
      </c>
      <c r="R52" s="122"/>
      <c r="S52" s="133">
        <f>P52/0.112194</f>
        <v>948660.35616877908</v>
      </c>
      <c r="T52" s="124"/>
      <c r="U52" s="124" t="s">
        <v>217</v>
      </c>
      <c r="V52" s="139">
        <v>20421</v>
      </c>
      <c r="W52" s="36"/>
      <c r="X52" s="36" t="s">
        <v>218</v>
      </c>
      <c r="Y52" s="36" t="s">
        <v>219</v>
      </c>
      <c r="Z52" s="36" t="s">
        <v>220</v>
      </c>
      <c r="AA52" s="36" t="s">
        <v>221</v>
      </c>
      <c r="AB52" s="29"/>
      <c r="AC52" s="29" t="s">
        <v>208</v>
      </c>
      <c r="AD52" s="832"/>
      <c r="AE52" s="832"/>
      <c r="AF52" s="832"/>
      <c r="AG52" s="832"/>
      <c r="AH52" s="832"/>
      <c r="AI52" s="832"/>
    </row>
    <row r="53" spans="1:35" s="832" customFormat="1" ht="115.5" customHeight="1">
      <c r="A53" s="26" t="s">
        <v>1440</v>
      </c>
      <c r="B53" s="140" t="s">
        <v>223</v>
      </c>
      <c r="C53" s="141" t="s">
        <v>41</v>
      </c>
      <c r="D53" s="102" t="s">
        <v>224</v>
      </c>
      <c r="E53" s="142" t="s">
        <v>225</v>
      </c>
      <c r="F53" s="26">
        <v>2005</v>
      </c>
      <c r="G53" s="26" t="s">
        <v>135</v>
      </c>
      <c r="H53" s="102" t="s">
        <v>226</v>
      </c>
      <c r="I53" s="1119" t="s">
        <v>44</v>
      </c>
      <c r="J53" s="26" t="s">
        <v>227</v>
      </c>
      <c r="K53" s="26" t="s">
        <v>228</v>
      </c>
      <c r="L53" s="867">
        <v>16000</v>
      </c>
      <c r="M53" s="143">
        <f>9000*8.3*0.0005*365</f>
        <v>13632.75</v>
      </c>
      <c r="N53" s="868">
        <v>35000</v>
      </c>
      <c r="O53" s="869">
        <f>N53*0.6</f>
        <v>21000</v>
      </c>
      <c r="P53" s="870">
        <f>O53*0.001*365*0.9</f>
        <v>6898.5</v>
      </c>
      <c r="Q53" s="924" t="s">
        <v>1444</v>
      </c>
      <c r="R53" s="122"/>
      <c r="S53" s="145">
        <v>600</v>
      </c>
      <c r="T53" s="146"/>
      <c r="U53" s="1454" t="s">
        <v>229</v>
      </c>
      <c r="V53" s="147">
        <v>72000</v>
      </c>
      <c r="W53" s="26"/>
      <c r="X53" s="102" t="s">
        <v>65</v>
      </c>
      <c r="Y53" s="1136"/>
      <c r="Z53" s="141" t="s">
        <v>230</v>
      </c>
      <c r="AA53" s="102" t="s">
        <v>231</v>
      </c>
      <c r="AB53" s="26"/>
      <c r="AC53" s="26" t="s">
        <v>222</v>
      </c>
    </row>
    <row r="54" spans="1:35" s="832" customFormat="1" ht="106.5" customHeight="1">
      <c r="A54" s="73" t="s">
        <v>1441</v>
      </c>
      <c r="B54" s="1109" t="s">
        <v>233</v>
      </c>
      <c r="C54" s="1111" t="s">
        <v>30</v>
      </c>
      <c r="D54" s="1113" t="s">
        <v>234</v>
      </c>
      <c r="E54" s="112" t="s">
        <v>235</v>
      </c>
      <c r="F54" s="1111" t="s">
        <v>66</v>
      </c>
      <c r="G54" s="1117" t="s">
        <v>135</v>
      </c>
      <c r="H54" s="73" t="s">
        <v>236</v>
      </c>
      <c r="I54" s="113" t="s">
        <v>237</v>
      </c>
      <c r="J54" s="1121"/>
      <c r="K54" s="1441" t="s">
        <v>1714</v>
      </c>
      <c r="L54" s="1122"/>
      <c r="M54" s="1111" t="s">
        <v>238</v>
      </c>
      <c r="N54" s="1113"/>
      <c r="O54" s="1113" t="s">
        <v>66</v>
      </c>
      <c r="P54" s="1111"/>
      <c r="Q54" s="910" t="s">
        <v>1447</v>
      </c>
      <c r="R54" s="114"/>
      <c r="S54" s="149"/>
      <c r="T54" s="149"/>
      <c r="U54" s="82" t="s">
        <v>239</v>
      </c>
      <c r="V54" s="149"/>
      <c r="W54" s="149"/>
      <c r="X54" s="118" t="s">
        <v>90</v>
      </c>
      <c r="Y54" s="118" t="s">
        <v>240</v>
      </c>
      <c r="Z54" s="118" t="s">
        <v>241</v>
      </c>
      <c r="AA54" s="109"/>
      <c r="AB54" s="109"/>
      <c r="AC54" s="108" t="s">
        <v>232</v>
      </c>
    </row>
    <row r="55" spans="1:35" ht="79.5" customHeight="1">
      <c r="A55" s="29" t="s">
        <v>1441</v>
      </c>
      <c r="B55" s="150" t="s">
        <v>243</v>
      </c>
      <c r="C55" s="26" t="s">
        <v>30</v>
      </c>
      <c r="D55" s="26" t="s">
        <v>244</v>
      </c>
      <c r="E55" s="103" t="s">
        <v>43</v>
      </c>
      <c r="F55" s="26">
        <v>2010</v>
      </c>
      <c r="G55" s="26" t="s">
        <v>135</v>
      </c>
      <c r="H55" s="26" t="s">
        <v>245</v>
      </c>
      <c r="I55" s="151" t="s">
        <v>44</v>
      </c>
      <c r="J55" s="26" t="s">
        <v>61</v>
      </c>
      <c r="K55" s="26" t="s">
        <v>1715</v>
      </c>
      <c r="L55" s="100"/>
      <c r="M55" s="144">
        <v>20000</v>
      </c>
      <c r="N55" s="152">
        <v>250000</v>
      </c>
      <c r="O55" s="153">
        <f>P55/(0.001*365*0.9)</f>
        <v>205689</v>
      </c>
      <c r="P55" s="144">
        <f>S55*0.112194</f>
        <v>67568.836500000005</v>
      </c>
      <c r="Q55" s="924" t="s">
        <v>1444</v>
      </c>
      <c r="R55" s="122"/>
      <c r="S55" s="144">
        <f>1650*365</f>
        <v>602250</v>
      </c>
      <c r="T55" s="146"/>
      <c r="U55" s="154" t="s">
        <v>246</v>
      </c>
      <c r="V55" s="26" t="s">
        <v>247</v>
      </c>
      <c r="W55" s="141"/>
      <c r="X55" s="120" t="s">
        <v>90</v>
      </c>
      <c r="Y55" s="120" t="s">
        <v>248</v>
      </c>
      <c r="Z55" s="120" t="s">
        <v>92</v>
      </c>
      <c r="AA55" s="141"/>
      <c r="AB55" s="611"/>
      <c r="AC55" s="101" t="s">
        <v>242</v>
      </c>
      <c r="AD55" s="832"/>
      <c r="AE55" s="832"/>
      <c r="AF55" s="832"/>
      <c r="AG55" s="832"/>
      <c r="AH55" s="832"/>
      <c r="AI55" s="832"/>
    </row>
    <row r="56" spans="1:35" s="832" customFormat="1" ht="72" customHeight="1">
      <c r="A56" s="29" t="s">
        <v>190</v>
      </c>
      <c r="B56" s="134" t="s">
        <v>249</v>
      </c>
      <c r="C56" s="29" t="s">
        <v>30</v>
      </c>
      <c r="D56" s="29" t="s">
        <v>1430</v>
      </c>
      <c r="E56" s="135" t="s">
        <v>43</v>
      </c>
      <c r="F56" s="29">
        <v>2012</v>
      </c>
      <c r="G56" s="29" t="s">
        <v>135</v>
      </c>
      <c r="H56" s="29" t="s">
        <v>88</v>
      </c>
      <c r="I56" s="884" t="s">
        <v>44</v>
      </c>
      <c r="J56" s="29" t="s">
        <v>61</v>
      </c>
      <c r="K56" s="29" t="s">
        <v>1431</v>
      </c>
      <c r="L56" s="885">
        <v>1300</v>
      </c>
      <c r="M56" s="132">
        <v>42600</v>
      </c>
      <c r="N56" s="122"/>
      <c r="O56" s="886">
        <f>P56/(0.001*365*0.9)</f>
        <v>201949.19999999998</v>
      </c>
      <c r="P56" s="132">
        <f>S56*0.112194</f>
        <v>66340.3122</v>
      </c>
      <c r="Q56" s="910" t="s">
        <v>1447</v>
      </c>
      <c r="R56" s="122"/>
      <c r="S56" s="132">
        <f>1800*365*0.9</f>
        <v>591300</v>
      </c>
      <c r="T56" s="136"/>
      <c r="U56" s="887" t="s">
        <v>1432</v>
      </c>
      <c r="V56" s="885">
        <v>9565</v>
      </c>
      <c r="W56" s="36"/>
      <c r="X56" s="36" t="s">
        <v>90</v>
      </c>
      <c r="Y56" s="36" t="s">
        <v>91</v>
      </c>
      <c r="Z56" s="36" t="s">
        <v>88</v>
      </c>
      <c r="AA56" s="36" t="s">
        <v>1433</v>
      </c>
      <c r="AB56" s="29"/>
      <c r="AC56" s="29" t="s">
        <v>1429</v>
      </c>
    </row>
    <row r="57" spans="1:35" ht="52.5" customHeight="1">
      <c r="A57" s="1112" t="s">
        <v>190</v>
      </c>
      <c r="B57" s="1110" t="s">
        <v>45</v>
      </c>
      <c r="C57" s="1112" t="s">
        <v>41</v>
      </c>
      <c r="D57" s="1114" t="s">
        <v>1415</v>
      </c>
      <c r="E57" s="1115" t="s">
        <v>43</v>
      </c>
      <c r="F57" s="1116">
        <v>2013</v>
      </c>
      <c r="G57" s="1116" t="s">
        <v>135</v>
      </c>
      <c r="H57" s="1118" t="s">
        <v>1416</v>
      </c>
      <c r="I57" s="1118" t="s">
        <v>44</v>
      </c>
      <c r="J57" s="1118"/>
      <c r="K57" s="1116" t="s">
        <v>1417</v>
      </c>
      <c r="L57" s="1123"/>
      <c r="M57" s="1123"/>
      <c r="N57" s="1123"/>
      <c r="O57" s="1124">
        <v>615000</v>
      </c>
      <c r="P57" s="1124"/>
      <c r="Q57" s="1126" t="s">
        <v>1446</v>
      </c>
      <c r="R57" s="1127"/>
      <c r="S57" s="1129"/>
      <c r="T57" s="881"/>
      <c r="U57" s="1131" t="s">
        <v>1418</v>
      </c>
      <c r="V57" s="1132"/>
      <c r="W57" s="882"/>
      <c r="X57" s="1135"/>
      <c r="Y57" s="1135" t="s">
        <v>1419</v>
      </c>
      <c r="Z57" s="1135"/>
      <c r="AA57" s="883" t="s">
        <v>1420</v>
      </c>
      <c r="AB57" s="1138"/>
      <c r="AC57" s="28" t="s">
        <v>1414</v>
      </c>
      <c r="AD57" s="832"/>
      <c r="AE57" s="832"/>
      <c r="AF57" s="832"/>
      <c r="AG57" s="832"/>
      <c r="AH57" s="832"/>
      <c r="AI57" s="832"/>
    </row>
    <row r="58" spans="1:35" ht="112.5" customHeight="1">
      <c r="A58" s="873" t="s">
        <v>190</v>
      </c>
      <c r="B58" s="872" t="s">
        <v>1409</v>
      </c>
      <c r="C58" s="873" t="s">
        <v>41</v>
      </c>
      <c r="D58" s="949" t="s">
        <v>42</v>
      </c>
      <c r="E58" s="874" t="s">
        <v>43</v>
      </c>
      <c r="F58" s="949">
        <v>2012</v>
      </c>
      <c r="G58" s="949" t="s">
        <v>135</v>
      </c>
      <c r="H58" s="874" t="s">
        <v>1410</v>
      </c>
      <c r="I58" s="1120" t="s">
        <v>44</v>
      </c>
      <c r="J58" s="873"/>
      <c r="K58" s="873" t="s">
        <v>1716</v>
      </c>
      <c r="L58" s="875">
        <v>7000</v>
      </c>
      <c r="M58" s="876"/>
      <c r="N58" s="877"/>
      <c r="O58" s="878">
        <v>830000</v>
      </c>
      <c r="P58" s="876"/>
      <c r="Q58" s="1125" t="s">
        <v>1446</v>
      </c>
      <c r="R58" s="879"/>
      <c r="S58" s="1128">
        <v>0</v>
      </c>
      <c r="T58" s="1130"/>
      <c r="U58" s="880" t="s">
        <v>1411</v>
      </c>
      <c r="V58" s="1337">
        <v>7286</v>
      </c>
      <c r="W58" s="1133"/>
      <c r="X58" s="1134"/>
      <c r="Y58" s="1134" t="s">
        <v>1412</v>
      </c>
      <c r="Z58" s="1133"/>
      <c r="AA58" s="1133" t="s">
        <v>1413</v>
      </c>
      <c r="AB58" s="1137"/>
      <c r="AC58" s="26" t="s">
        <v>1408</v>
      </c>
      <c r="AD58" s="832"/>
      <c r="AE58" s="832"/>
      <c r="AF58" s="832"/>
      <c r="AG58" s="832"/>
      <c r="AH58" s="832"/>
      <c r="AI58" s="832"/>
    </row>
    <row r="59" spans="1:35" ht="195" customHeight="1">
      <c r="A59" s="29" t="s">
        <v>1441</v>
      </c>
      <c r="B59" s="111" t="s">
        <v>1165</v>
      </c>
      <c r="C59" s="156" t="s">
        <v>30</v>
      </c>
      <c r="D59" s="156" t="s">
        <v>250</v>
      </c>
      <c r="E59" s="628" t="s">
        <v>251</v>
      </c>
      <c r="F59" s="630">
        <v>2008</v>
      </c>
      <c r="G59" s="638" t="s">
        <v>135</v>
      </c>
      <c r="H59" s="156" t="s">
        <v>252</v>
      </c>
      <c r="I59" s="631" t="s">
        <v>44</v>
      </c>
      <c r="J59" s="156" t="s">
        <v>253</v>
      </c>
      <c r="K59" s="156" t="s">
        <v>254</v>
      </c>
      <c r="L59" s="632">
        <v>10000</v>
      </c>
      <c r="M59" s="633">
        <v>12500</v>
      </c>
      <c r="N59" s="148"/>
      <c r="O59" s="634">
        <v>2739726</v>
      </c>
      <c r="P59" s="629">
        <f>O59*0.001*365*0.9</f>
        <v>899999.99100000004</v>
      </c>
      <c r="Q59" s="925" t="s">
        <v>1443</v>
      </c>
      <c r="R59" s="148"/>
      <c r="S59" s="636">
        <f>O59/0.112194</f>
        <v>24419541.151933257</v>
      </c>
      <c r="T59" s="155"/>
      <c r="U59" s="155"/>
      <c r="V59" s="637">
        <v>1352</v>
      </c>
      <c r="W59" s="635">
        <v>2013</v>
      </c>
      <c r="X59" s="638" t="s">
        <v>90</v>
      </c>
      <c r="Y59" s="639" t="s">
        <v>255</v>
      </c>
      <c r="Z59" s="638" t="s">
        <v>256</v>
      </c>
      <c r="AA59" s="635" t="s">
        <v>1166</v>
      </c>
      <c r="AB59" s="156"/>
      <c r="AC59" s="156" t="s">
        <v>1189</v>
      </c>
      <c r="AD59" s="832"/>
      <c r="AE59" s="832"/>
      <c r="AF59" s="832"/>
      <c r="AG59" s="832"/>
      <c r="AH59" s="832"/>
      <c r="AI59" s="832"/>
    </row>
    <row r="60" spans="1:35" s="493" customFormat="1" ht="15.75">
      <c r="A60" s="642"/>
      <c r="B60" s="640" t="s">
        <v>257</v>
      </c>
      <c r="C60" s="641"/>
      <c r="D60" s="642"/>
      <c r="E60" s="643"/>
      <c r="F60" s="644"/>
      <c r="G60" s="644"/>
      <c r="H60" s="645"/>
      <c r="I60" s="646"/>
      <c r="J60" s="953"/>
      <c r="K60" s="647"/>
      <c r="L60" s="647"/>
      <c r="M60" s="647"/>
      <c r="N60" s="647"/>
      <c r="O60" s="647"/>
      <c r="P60" s="647"/>
      <c r="Q60" s="647"/>
      <c r="R60" s="648"/>
      <c r="S60" s="648"/>
      <c r="T60" s="648"/>
      <c r="U60" s="649"/>
      <c r="V60" s="650"/>
      <c r="W60" s="651"/>
      <c r="X60" s="650"/>
      <c r="Y60" s="652"/>
      <c r="Z60" s="649"/>
      <c r="AA60" s="653"/>
      <c r="AB60" s="652"/>
      <c r="AC60" s="654"/>
      <c r="AD60" s="832"/>
      <c r="AE60" s="832"/>
      <c r="AF60" s="832"/>
      <c r="AG60" s="832"/>
      <c r="AH60" s="832"/>
      <c r="AI60" s="832"/>
    </row>
    <row r="61" spans="1:35" s="804" customFormat="1" ht="63" customHeight="1">
      <c r="A61" s="51" t="s">
        <v>31</v>
      </c>
      <c r="B61" s="115" t="s">
        <v>259</v>
      </c>
      <c r="C61" s="51" t="s">
        <v>30</v>
      </c>
      <c r="D61" s="51" t="s">
        <v>49</v>
      </c>
      <c r="E61" s="116" t="s">
        <v>50</v>
      </c>
      <c r="F61" s="51">
        <v>2008</v>
      </c>
      <c r="G61" s="51" t="s">
        <v>135</v>
      </c>
      <c r="H61" s="51" t="s">
        <v>260</v>
      </c>
      <c r="I61" s="812" t="s">
        <v>72</v>
      </c>
      <c r="J61" s="51" t="s">
        <v>214</v>
      </c>
      <c r="K61" s="51" t="s">
        <v>261</v>
      </c>
      <c r="L61" s="813" t="s">
        <v>1397</v>
      </c>
      <c r="M61" s="117"/>
      <c r="N61" s="117"/>
      <c r="O61" s="814">
        <v>45000</v>
      </c>
      <c r="P61" s="815">
        <f>O61*0.001*365*0.9</f>
        <v>14782.5</v>
      </c>
      <c r="Q61" s="926" t="s">
        <v>1444</v>
      </c>
      <c r="R61" s="117"/>
      <c r="S61" s="815">
        <f>P61/0.112194</f>
        <v>131758.38280121933</v>
      </c>
      <c r="T61" s="816">
        <v>358383</v>
      </c>
      <c r="U61" s="817" t="s">
        <v>1717</v>
      </c>
      <c r="V61" s="813">
        <v>10820</v>
      </c>
      <c r="W61" s="118"/>
      <c r="X61" s="818" t="s">
        <v>65</v>
      </c>
      <c r="Y61" s="118"/>
      <c r="Z61" s="118" t="s">
        <v>262</v>
      </c>
      <c r="AA61" s="118"/>
      <c r="AB61" s="118"/>
      <c r="AC61" s="51" t="s">
        <v>258</v>
      </c>
      <c r="AD61" s="832"/>
      <c r="AE61" s="832"/>
      <c r="AF61" s="832"/>
      <c r="AG61" s="832"/>
      <c r="AH61" s="832"/>
      <c r="AI61" s="832"/>
    </row>
    <row r="62" spans="1:35" ht="15.75">
      <c r="A62" s="641"/>
      <c r="B62" s="640" t="s">
        <v>263</v>
      </c>
      <c r="C62" s="641"/>
      <c r="D62" s="642"/>
      <c r="E62" s="643"/>
      <c r="F62" s="644"/>
      <c r="G62" s="644"/>
      <c r="H62" s="645"/>
      <c r="I62" s="646"/>
      <c r="J62" s="953"/>
      <c r="K62" s="647"/>
      <c r="L62" s="647"/>
      <c r="M62" s="647"/>
      <c r="N62" s="647"/>
      <c r="O62" s="647"/>
      <c r="P62" s="647"/>
      <c r="Q62" s="647"/>
      <c r="R62" s="648"/>
      <c r="S62" s="648"/>
      <c r="T62" s="648"/>
      <c r="U62" s="649"/>
      <c r="V62" s="650"/>
      <c r="W62" s="651"/>
      <c r="X62" s="650"/>
      <c r="Y62" s="652"/>
      <c r="Z62" s="649"/>
      <c r="AA62" s="653"/>
      <c r="AB62" s="652"/>
      <c r="AC62" s="1330"/>
      <c r="AD62" s="832"/>
      <c r="AE62" s="832"/>
      <c r="AF62" s="832"/>
      <c r="AG62" s="832"/>
      <c r="AH62" s="832"/>
      <c r="AI62" s="832"/>
    </row>
    <row r="63" spans="1:35" s="865" customFormat="1">
      <c r="A63" s="864"/>
      <c r="B63" s="864"/>
      <c r="C63" s="864"/>
      <c r="D63" s="864"/>
      <c r="E63" s="866"/>
      <c r="F63" s="51"/>
      <c r="G63" s="864"/>
      <c r="H63" s="864"/>
      <c r="I63" s="950"/>
      <c r="J63" s="954"/>
      <c r="K63" s="864"/>
      <c r="L63" s="864"/>
      <c r="M63" s="864"/>
      <c r="N63" s="864"/>
      <c r="O63" s="864"/>
      <c r="P63" s="864"/>
      <c r="Q63" s="864"/>
      <c r="R63" s="927"/>
      <c r="S63" s="864"/>
      <c r="T63" s="864"/>
      <c r="U63" s="864"/>
      <c r="V63" s="864"/>
      <c r="W63" s="864"/>
      <c r="X63" s="864"/>
      <c r="Y63" s="864"/>
      <c r="Z63" s="864"/>
      <c r="AA63" s="864"/>
      <c r="AB63" s="864"/>
      <c r="AC63" s="864"/>
      <c r="AD63" s="832"/>
      <c r="AE63" s="832"/>
      <c r="AF63" s="832"/>
      <c r="AG63" s="832"/>
      <c r="AH63" s="832"/>
      <c r="AI63" s="832"/>
    </row>
    <row r="64" spans="1:35" ht="15.75">
      <c r="A64" s="641"/>
      <c r="B64" s="640" t="s">
        <v>266</v>
      </c>
      <c r="C64" s="641"/>
      <c r="D64" s="642"/>
      <c r="E64" s="643"/>
      <c r="F64" s="644"/>
      <c r="G64" s="644"/>
      <c r="H64" s="645"/>
      <c r="I64" s="646"/>
      <c r="J64" s="953"/>
      <c r="K64" s="647"/>
      <c r="L64" s="647"/>
      <c r="M64" s="647"/>
      <c r="N64" s="647"/>
      <c r="O64" s="647"/>
      <c r="P64" s="647"/>
      <c r="Q64" s="894"/>
      <c r="R64" s="648"/>
      <c r="S64" s="648"/>
      <c r="T64" s="648"/>
      <c r="U64" s="649"/>
      <c r="V64" s="650"/>
      <c r="W64" s="651"/>
      <c r="X64" s="650"/>
      <c r="Y64" s="652"/>
      <c r="Z64" s="649"/>
      <c r="AA64" s="653"/>
      <c r="AB64" s="652"/>
      <c r="AC64" s="1330"/>
      <c r="AD64" s="832"/>
      <c r="AE64" s="832"/>
      <c r="AF64" s="832"/>
      <c r="AG64" s="832"/>
      <c r="AH64" s="832"/>
      <c r="AI64" s="832"/>
    </row>
    <row r="65" spans="1:37" ht="33" customHeight="1">
      <c r="A65" s="93" t="s">
        <v>194</v>
      </c>
      <c r="B65" s="1076" t="s">
        <v>268</v>
      </c>
      <c r="C65" s="93" t="s">
        <v>30</v>
      </c>
      <c r="D65" s="656" t="s">
        <v>269</v>
      </c>
      <c r="E65" s="657" t="s">
        <v>50</v>
      </c>
      <c r="F65" s="658">
        <v>2008</v>
      </c>
      <c r="G65" s="663" t="s">
        <v>135</v>
      </c>
      <c r="H65" s="93"/>
      <c r="I65" s="512"/>
      <c r="J65" s="512" t="s">
        <v>72</v>
      </c>
      <c r="K65" s="93"/>
      <c r="L65" s="659">
        <v>5000</v>
      </c>
      <c r="M65" s="93"/>
      <c r="N65" s="93"/>
      <c r="O65" s="660">
        <v>300000</v>
      </c>
      <c r="P65" s="661">
        <f>O65*0.001*365*0.9</f>
        <v>98550</v>
      </c>
      <c r="Q65" s="921" t="s">
        <v>1443</v>
      </c>
      <c r="R65" s="93"/>
      <c r="S65" s="662">
        <f>O65/0.112194</f>
        <v>2673939.7828760897</v>
      </c>
      <c r="T65" s="519"/>
      <c r="U65" s="519"/>
      <c r="V65" s="93"/>
      <c r="W65" s="663">
        <v>2010</v>
      </c>
      <c r="X65" s="663" t="s">
        <v>65</v>
      </c>
      <c r="Y65" s="663"/>
      <c r="Z65" s="512" t="s">
        <v>270</v>
      </c>
      <c r="AA65" s="512" t="s">
        <v>271</v>
      </c>
      <c r="AB65" s="981"/>
      <c r="AC65" s="93" t="s">
        <v>267</v>
      </c>
    </row>
    <row r="67" spans="1:3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64"/>
      <c r="AE67" s="1"/>
      <c r="AF67" s="1"/>
      <c r="AG67" s="1"/>
      <c r="AH67" s="1"/>
      <c r="AI67" s="1"/>
      <c r="AJ67" s="166"/>
      <c r="AK67" s="1"/>
    </row>
    <row r="68" spans="1:37">
      <c r="A68" s="1"/>
      <c r="B68" s="165"/>
      <c r="C68" s="165"/>
      <c r="D68" s="165"/>
      <c r="E68" s="165"/>
      <c r="F68" s="165"/>
      <c r="G68" s="165"/>
      <c r="H68" s="165"/>
      <c r="I68" s="165"/>
      <c r="J68" s="165"/>
      <c r="K68" s="165"/>
      <c r="L68" s="165"/>
      <c r="M68" s="165"/>
      <c r="N68" s="165"/>
      <c r="O68" s="165"/>
      <c r="P68" s="165"/>
      <c r="Q68" s="165"/>
      <c r="R68" s="165"/>
      <c r="S68" s="165"/>
      <c r="T68" s="165"/>
      <c r="U68" s="165"/>
      <c r="V68" s="165"/>
      <c r="W68" s="164"/>
      <c r="X68" s="164"/>
      <c r="Y68" s="164"/>
      <c r="Z68" s="164"/>
      <c r="AA68" s="165"/>
      <c r="AB68" s="165"/>
      <c r="AC68" s="165"/>
      <c r="AD68" s="164"/>
      <c r="AE68" s="165"/>
      <c r="AF68" s="165"/>
      <c r="AG68" s="165"/>
      <c r="AH68" s="165"/>
      <c r="AI68" s="165"/>
      <c r="AJ68" s="167"/>
      <c r="AK68" s="1"/>
    </row>
    <row r="69" spans="1:37" ht="23.25" customHeight="1">
      <c r="A69" s="1"/>
      <c r="B69" s="164"/>
      <c r="C69" s="1632" t="s">
        <v>1661</v>
      </c>
      <c r="D69" s="1632"/>
      <c r="E69" s="1632"/>
      <c r="F69" s="1632"/>
      <c r="G69" s="1632"/>
      <c r="H69" s="1632"/>
      <c r="I69" s="1"/>
      <c r="J69" s="1"/>
      <c r="K69" s="1"/>
      <c r="L69" s="1"/>
      <c r="M69" s="1"/>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7"/>
      <c r="AK69" s="1"/>
    </row>
    <row r="70" spans="1:37">
      <c r="A70" s="1"/>
      <c r="B70" s="164"/>
      <c r="C70" s="1642" t="s">
        <v>46</v>
      </c>
      <c r="D70" s="1642"/>
      <c r="E70" s="1646">
        <v>11</v>
      </c>
      <c r="F70" s="1647"/>
      <c r="G70" s="1647"/>
      <c r="H70" s="1648"/>
      <c r="I70" s="1"/>
      <c r="J70" s="1"/>
      <c r="K70" s="1"/>
      <c r="L70" s="1"/>
      <c r="M70" s="1"/>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7"/>
      <c r="AK70" s="1"/>
    </row>
    <row r="71" spans="1:37">
      <c r="A71" s="1"/>
      <c r="B71" s="164"/>
      <c r="C71" s="1642" t="s">
        <v>277</v>
      </c>
      <c r="D71" s="1642"/>
      <c r="E71" s="1646">
        <v>21</v>
      </c>
      <c r="F71" s="1647"/>
      <c r="G71" s="1647"/>
      <c r="H71" s="1648"/>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7"/>
      <c r="AK71" s="1"/>
    </row>
    <row r="72" spans="1:37">
      <c r="A72" s="1"/>
      <c r="B72" s="164"/>
      <c r="C72" s="1642" t="s">
        <v>278</v>
      </c>
      <c r="D72" s="1642"/>
      <c r="E72" s="1646">
        <v>63</v>
      </c>
      <c r="F72" s="1647"/>
      <c r="G72" s="1647"/>
      <c r="H72" s="1648"/>
      <c r="I72" s="1"/>
      <c r="J72" s="1"/>
      <c r="K72" s="1"/>
      <c r="L72" s="1"/>
      <c r="M72" s="1"/>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5"/>
      <c r="AK72" s="1"/>
    </row>
    <row r="73" spans="1:37">
      <c r="A73" s="1"/>
      <c r="B73" s="164"/>
      <c r="C73" s="1642" t="s">
        <v>279</v>
      </c>
      <c r="D73" s="1642"/>
      <c r="E73" s="1646">
        <v>3</v>
      </c>
      <c r="F73" s="1647"/>
      <c r="G73" s="1647"/>
      <c r="H73" s="1648"/>
      <c r="I73" s="165"/>
      <c r="J73" s="165"/>
      <c r="K73" s="165"/>
      <c r="L73" s="165"/>
      <c r="M73" s="165"/>
      <c r="N73" s="1"/>
      <c r="O73" s="1"/>
      <c r="P73" s="1"/>
      <c r="Q73" s="1"/>
      <c r="R73" s="1"/>
      <c r="S73" s="1"/>
      <c r="T73" s="1"/>
      <c r="U73" s="1"/>
      <c r="V73" s="1"/>
      <c r="W73" s="1"/>
      <c r="X73" s="164"/>
      <c r="Y73" s="1"/>
      <c r="Z73" s="1"/>
      <c r="AA73" s="1"/>
      <c r="AB73" s="1"/>
      <c r="AC73" s="1"/>
      <c r="AD73" s="1"/>
      <c r="AE73" s="1"/>
      <c r="AF73" s="1"/>
      <c r="AG73" s="1"/>
      <c r="AH73" s="1"/>
      <c r="AI73" s="1"/>
      <c r="AJ73" s="5"/>
      <c r="AK73" s="1"/>
    </row>
    <row r="74" spans="1:37" s="832" customFormat="1" ht="15.75" customHeight="1">
      <c r="A74" s="833"/>
      <c r="B74" s="164"/>
      <c r="C74" s="1642" t="s">
        <v>1401</v>
      </c>
      <c r="D74" s="1642"/>
      <c r="E74" s="1646">
        <v>3</v>
      </c>
      <c r="F74" s="1647"/>
      <c r="G74" s="1647"/>
      <c r="H74" s="1648"/>
      <c r="I74" s="165"/>
      <c r="J74" s="165"/>
      <c r="K74" s="165"/>
      <c r="L74" s="165"/>
      <c r="M74" s="165"/>
      <c r="N74" s="833"/>
      <c r="O74" s="833"/>
      <c r="P74" s="833"/>
      <c r="Q74" s="833"/>
      <c r="R74" s="833"/>
      <c r="S74" s="833"/>
      <c r="T74" s="833"/>
      <c r="U74" s="833"/>
      <c r="V74" s="833"/>
      <c r="W74" s="833"/>
      <c r="X74" s="164"/>
      <c r="Y74" s="833"/>
      <c r="Z74" s="833"/>
      <c r="AA74" s="833"/>
      <c r="AB74" s="833"/>
      <c r="AC74" s="833"/>
      <c r="AD74" s="833"/>
      <c r="AE74" s="833"/>
      <c r="AF74" s="833"/>
      <c r="AG74" s="833"/>
      <c r="AH74" s="833"/>
      <c r="AI74" s="833"/>
      <c r="AJ74" s="5"/>
      <c r="AK74" s="833"/>
    </row>
    <row r="75" spans="1:37" ht="15" customHeight="1">
      <c r="A75" s="1"/>
      <c r="B75" s="164"/>
      <c r="C75" s="1642" t="s">
        <v>280</v>
      </c>
      <c r="D75" s="1642"/>
      <c r="E75" s="1646">
        <v>4</v>
      </c>
      <c r="F75" s="1647"/>
      <c r="G75" s="1647"/>
      <c r="H75" s="1648"/>
      <c r="I75" s="1"/>
      <c r="J75" s="1"/>
      <c r="K75" s="1"/>
      <c r="L75" s="1"/>
      <c r="M75" s="1"/>
      <c r="N75" s="1"/>
      <c r="O75" s="1"/>
      <c r="P75" s="1"/>
      <c r="Q75" s="1"/>
      <c r="R75" s="1"/>
      <c r="S75" s="1"/>
      <c r="T75" s="1"/>
      <c r="U75" s="1"/>
      <c r="V75" s="1"/>
      <c r="W75" s="1"/>
      <c r="X75" s="164"/>
      <c r="Y75" s="1"/>
      <c r="Z75" s="1"/>
      <c r="AA75" s="1"/>
      <c r="AB75" s="1"/>
      <c r="AC75" s="1"/>
      <c r="AD75" s="1"/>
      <c r="AE75" s="1"/>
      <c r="AF75" s="1"/>
      <c r="AG75" s="1"/>
      <c r="AH75" s="1"/>
      <c r="AI75" s="1"/>
      <c r="AJ75" s="171"/>
      <c r="AK75" s="1"/>
    </row>
    <row r="76" spans="1:37" s="832" customFormat="1" ht="16.5" customHeight="1">
      <c r="A76" s="833"/>
      <c r="B76" s="164"/>
      <c r="C76" s="1642" t="s">
        <v>1402</v>
      </c>
      <c r="D76" s="1642"/>
      <c r="E76" s="1646">
        <v>2</v>
      </c>
      <c r="F76" s="1647"/>
      <c r="G76" s="1647"/>
      <c r="H76" s="1648"/>
      <c r="I76" s="833"/>
      <c r="J76" s="833"/>
      <c r="K76" s="833"/>
      <c r="L76" s="833"/>
      <c r="M76" s="833"/>
      <c r="N76" s="833"/>
      <c r="O76" s="833"/>
      <c r="P76" s="833"/>
      <c r="Q76" s="833"/>
      <c r="R76" s="833"/>
      <c r="S76" s="833"/>
      <c r="T76" s="833"/>
      <c r="U76" s="833"/>
      <c r="V76" s="833"/>
      <c r="W76" s="833"/>
      <c r="X76" s="164"/>
      <c r="Y76" s="833"/>
      <c r="Z76" s="833"/>
      <c r="AA76" s="833"/>
      <c r="AB76" s="833"/>
      <c r="AC76" s="833"/>
      <c r="AD76" s="833"/>
      <c r="AE76" s="833"/>
      <c r="AF76" s="833"/>
      <c r="AG76" s="833"/>
      <c r="AH76" s="833"/>
      <c r="AI76" s="833"/>
      <c r="AJ76" s="171"/>
      <c r="AK76" s="833"/>
    </row>
    <row r="77" spans="1:37" ht="17.25" customHeight="1">
      <c r="A77" s="1"/>
      <c r="B77" s="164"/>
      <c r="C77" s="1642" t="s">
        <v>1561</v>
      </c>
      <c r="D77" s="1642"/>
      <c r="E77" s="1646">
        <v>105</v>
      </c>
      <c r="F77" s="1647"/>
      <c r="G77" s="1647"/>
      <c r="H77" s="1648"/>
      <c r="I77" s="165"/>
      <c r="J77" s="165"/>
      <c r="K77" s="165"/>
      <c r="L77" s="165"/>
      <c r="M77" s="165"/>
      <c r="N77" s="1"/>
      <c r="O77" s="1"/>
      <c r="P77" s="1"/>
      <c r="Q77" s="1"/>
      <c r="R77" s="1"/>
      <c r="S77" s="1"/>
      <c r="T77" s="1"/>
      <c r="U77" s="1"/>
      <c r="V77" s="1"/>
      <c r="W77" s="1"/>
      <c r="X77" s="164"/>
      <c r="Y77" s="1"/>
      <c r="Z77" s="1"/>
      <c r="AA77" s="1"/>
      <c r="AB77" s="1"/>
      <c r="AC77" s="1"/>
      <c r="AD77" s="1"/>
      <c r="AE77" s="1"/>
      <c r="AF77" s="1"/>
      <c r="AG77" s="170"/>
      <c r="AH77" s="170"/>
      <c r="AI77" s="170"/>
      <c r="AJ77" s="171"/>
      <c r="AK77" s="1"/>
    </row>
    <row r="78" spans="1:37" s="832" customFormat="1" ht="15.75" customHeight="1">
      <c r="A78" s="833"/>
      <c r="B78" s="164"/>
      <c r="C78" s="1649" t="s">
        <v>1530</v>
      </c>
      <c r="D78" s="1649"/>
      <c r="E78" s="1428">
        <v>8</v>
      </c>
      <c r="F78" s="1633"/>
      <c r="G78" s="1634"/>
      <c r="H78" s="1635"/>
      <c r="I78" s="165"/>
      <c r="J78" s="165"/>
      <c r="K78" s="165"/>
      <c r="L78" s="165"/>
      <c r="M78" s="165"/>
      <c r="N78" s="833"/>
      <c r="O78" s="833"/>
      <c r="P78" s="833"/>
      <c r="Q78" s="833"/>
      <c r="R78" s="833"/>
      <c r="S78" s="833"/>
      <c r="T78" s="833"/>
      <c r="U78" s="833"/>
      <c r="V78" s="833"/>
      <c r="W78" s="833"/>
      <c r="X78" s="164"/>
      <c r="Y78" s="833"/>
      <c r="Z78" s="833"/>
      <c r="AA78" s="833"/>
      <c r="AB78" s="833"/>
      <c r="AC78" s="833"/>
      <c r="AD78" s="833"/>
      <c r="AE78" s="833"/>
      <c r="AF78" s="833"/>
      <c r="AG78" s="170"/>
      <c r="AH78" s="170"/>
      <c r="AI78" s="170"/>
      <c r="AJ78" s="171"/>
      <c r="AK78" s="833"/>
    </row>
    <row r="79" spans="1:37" s="832" customFormat="1">
      <c r="A79" s="833"/>
      <c r="B79" s="164"/>
      <c r="C79" s="1633"/>
      <c r="D79" s="1634"/>
      <c r="E79" s="1634"/>
      <c r="F79" s="1634"/>
      <c r="G79" s="1634"/>
      <c r="H79" s="1635"/>
      <c r="I79" s="165"/>
      <c r="J79" s="165"/>
      <c r="K79" s="165"/>
      <c r="L79" s="165"/>
      <c r="M79" s="165"/>
      <c r="N79" s="833"/>
      <c r="O79" s="833"/>
      <c r="P79" s="833"/>
      <c r="Q79" s="833"/>
      <c r="R79" s="833"/>
      <c r="S79" s="833"/>
      <c r="T79" s="833"/>
      <c r="U79" s="833"/>
      <c r="V79" s="833"/>
      <c r="W79" s="833"/>
      <c r="X79" s="164"/>
      <c r="Y79" s="833"/>
      <c r="Z79" s="833"/>
      <c r="AA79" s="833"/>
      <c r="AB79" s="833"/>
      <c r="AC79" s="833"/>
      <c r="AD79" s="833"/>
      <c r="AE79" s="833"/>
      <c r="AF79" s="833"/>
      <c r="AG79" s="170"/>
      <c r="AH79" s="170"/>
      <c r="AI79" s="170"/>
      <c r="AJ79" s="171"/>
      <c r="AK79" s="833"/>
    </row>
    <row r="80" spans="1:37" s="832" customFormat="1" ht="21.75" customHeight="1">
      <c r="A80" s="833"/>
      <c r="B80" s="164"/>
      <c r="C80" s="1636" t="s">
        <v>1555</v>
      </c>
      <c r="D80" s="1636"/>
      <c r="E80" s="1636"/>
      <c r="F80" s="1636"/>
      <c r="G80" s="1636"/>
      <c r="H80" s="1636"/>
      <c r="I80" s="165"/>
      <c r="J80" s="165"/>
      <c r="K80" s="165"/>
      <c r="L80" s="165"/>
      <c r="M80" s="165"/>
      <c r="N80" s="833"/>
      <c r="O80" s="833"/>
      <c r="P80" s="833"/>
      <c r="Q80" s="833"/>
      <c r="R80" s="833"/>
      <c r="S80" s="833"/>
      <c r="T80" s="833"/>
      <c r="U80" s="833"/>
      <c r="V80" s="833"/>
      <c r="W80" s="833"/>
      <c r="X80" s="164"/>
      <c r="Y80" s="833"/>
      <c r="Z80" s="833"/>
      <c r="AA80" s="833"/>
      <c r="AB80" s="833"/>
      <c r="AC80" s="833"/>
      <c r="AD80" s="833"/>
      <c r="AE80" s="833"/>
      <c r="AF80" s="833"/>
      <c r="AG80" s="170"/>
      <c r="AH80" s="170"/>
      <c r="AI80" s="170"/>
      <c r="AJ80" s="171"/>
      <c r="AK80" s="833"/>
    </row>
    <row r="81" spans="1:39" s="832" customFormat="1">
      <c r="A81" s="833"/>
      <c r="B81" s="164"/>
      <c r="C81" s="1637"/>
      <c r="D81" s="1637"/>
      <c r="E81" s="1637"/>
      <c r="F81" s="1637"/>
      <c r="G81" s="1637"/>
      <c r="H81" s="1637"/>
      <c r="I81" s="164"/>
      <c r="J81" s="164"/>
      <c r="K81" s="165"/>
      <c r="L81" s="165"/>
      <c r="M81" s="165"/>
      <c r="N81" s="165"/>
      <c r="O81" s="165"/>
      <c r="P81" s="833"/>
      <c r="Q81" s="833"/>
      <c r="R81" s="833"/>
      <c r="S81" s="833"/>
      <c r="T81" s="833"/>
      <c r="U81" s="833"/>
      <c r="V81" s="833"/>
      <c r="W81" s="833"/>
      <c r="X81" s="833"/>
      <c r="Y81" s="833"/>
      <c r="Z81" s="164"/>
      <c r="AA81" s="833"/>
      <c r="AB81" s="833"/>
      <c r="AC81" s="833"/>
      <c r="AD81" s="833"/>
      <c r="AE81" s="833"/>
      <c r="AF81" s="833"/>
      <c r="AG81" s="833"/>
      <c r="AH81" s="833"/>
      <c r="AI81" s="170"/>
      <c r="AJ81" s="170"/>
      <c r="AK81" s="170"/>
      <c r="AL81" s="171"/>
      <c r="AM81" s="833"/>
    </row>
    <row r="82" spans="1:39" ht="34.5">
      <c r="A82" s="833"/>
      <c r="B82" s="164"/>
      <c r="C82" s="1638" t="s">
        <v>1529</v>
      </c>
      <c r="D82" s="1638"/>
      <c r="E82" s="1602" t="s">
        <v>1666</v>
      </c>
      <c r="F82" s="1550" t="s">
        <v>1541</v>
      </c>
      <c r="G82" s="1551" t="s">
        <v>1662</v>
      </c>
      <c r="H82" s="1551" t="s">
        <v>1538</v>
      </c>
      <c r="I82" s="1"/>
      <c r="J82" s="1"/>
      <c r="K82" s="1"/>
      <c r="L82" s="1"/>
      <c r="M82" s="1"/>
      <c r="N82" s="1"/>
      <c r="O82" s="1"/>
      <c r="P82" s="1"/>
      <c r="Q82" s="1"/>
      <c r="R82" s="1"/>
      <c r="S82" s="1"/>
      <c r="T82" s="1"/>
      <c r="U82" s="1"/>
      <c r="V82" s="1"/>
      <c r="W82" s="1"/>
      <c r="X82" s="1"/>
      <c r="Y82" s="1"/>
      <c r="Z82" s="164"/>
      <c r="AA82" s="1"/>
      <c r="AB82" s="1"/>
      <c r="AC82" s="1"/>
      <c r="AD82" s="1"/>
      <c r="AE82" s="1"/>
      <c r="AF82" s="1"/>
      <c r="AG82" s="1"/>
      <c r="AH82" s="1"/>
      <c r="AI82" s="170"/>
      <c r="AJ82" s="170"/>
      <c r="AK82" s="170"/>
      <c r="AL82" s="171"/>
      <c r="AM82" s="1"/>
    </row>
    <row r="83" spans="1:39">
      <c r="A83" s="833"/>
      <c r="B83" s="164"/>
      <c r="C83" s="1642" t="s">
        <v>37</v>
      </c>
      <c r="D83" s="1642"/>
      <c r="E83" s="1428">
        <v>2</v>
      </c>
      <c r="F83" s="976" t="s">
        <v>1527</v>
      </c>
      <c r="G83" s="1430">
        <v>505736</v>
      </c>
      <c r="H83" s="1430">
        <v>505736</v>
      </c>
      <c r="I83" s="165"/>
      <c r="J83" s="165"/>
      <c r="K83" s="1"/>
      <c r="L83" s="1"/>
      <c r="M83" s="1"/>
      <c r="N83" s="1"/>
      <c r="O83" s="1"/>
      <c r="P83" s="1"/>
      <c r="Q83" s="1"/>
      <c r="R83" s="1"/>
      <c r="S83" s="1"/>
      <c r="T83" s="1"/>
      <c r="U83" s="1"/>
      <c r="V83" s="1"/>
      <c r="W83" s="1"/>
      <c r="X83" s="1"/>
      <c r="Y83" s="1"/>
      <c r="Z83" s="164"/>
      <c r="AA83" s="1"/>
      <c r="AB83" s="1"/>
      <c r="AC83" s="1"/>
      <c r="AD83" s="1"/>
      <c r="AE83" s="1"/>
      <c r="AF83" s="1"/>
      <c r="AG83" s="1"/>
      <c r="AH83" s="1"/>
      <c r="AI83" s="170"/>
      <c r="AJ83" s="170"/>
      <c r="AK83" s="170"/>
      <c r="AL83" s="167"/>
      <c r="AM83" s="1"/>
    </row>
    <row r="84" spans="1:39">
      <c r="A84" s="833"/>
      <c r="B84" s="164"/>
      <c r="C84" s="1642" t="s">
        <v>284</v>
      </c>
      <c r="D84" s="1642"/>
      <c r="E84" s="1428">
        <v>3</v>
      </c>
      <c r="F84" s="976" t="s">
        <v>1527</v>
      </c>
      <c r="G84" s="1430">
        <v>787269.11220000009</v>
      </c>
      <c r="H84" s="1430">
        <v>257070.11220000003</v>
      </c>
      <c r="I84" s="1"/>
      <c r="J84" s="1"/>
      <c r="K84" s="1"/>
      <c r="L84" s="1"/>
      <c r="M84" s="1"/>
      <c r="N84" s="1"/>
      <c r="O84" s="1"/>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7"/>
      <c r="AM84" s="1"/>
    </row>
    <row r="85" spans="1:39">
      <c r="A85" s="833"/>
      <c r="B85" s="164"/>
      <c r="C85" s="1642" t="s">
        <v>285</v>
      </c>
      <c r="D85" s="1642"/>
      <c r="E85" s="1428">
        <v>6</v>
      </c>
      <c r="F85" s="976" t="s">
        <v>1527</v>
      </c>
      <c r="G85" s="1430">
        <v>165000</v>
      </c>
      <c r="H85" s="1430">
        <v>165000</v>
      </c>
      <c r="I85" s="165"/>
      <c r="J85" s="165"/>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7"/>
      <c r="AM85" s="1"/>
    </row>
    <row r="86" spans="1:39" ht="18" customHeight="1">
      <c r="A86" s="833"/>
      <c r="B86" s="164"/>
      <c r="C86" s="1642" t="s">
        <v>133</v>
      </c>
      <c r="D86" s="1642"/>
      <c r="E86" s="1428">
        <v>0</v>
      </c>
      <c r="F86" s="976" t="s">
        <v>1527</v>
      </c>
      <c r="G86" s="1430">
        <v>0</v>
      </c>
      <c r="H86" s="1430">
        <v>0</v>
      </c>
      <c r="I86" s="1"/>
      <c r="J86" s="1"/>
      <c r="K86" s="1"/>
      <c r="L86" s="1"/>
      <c r="M86" s="1"/>
      <c r="N86" s="1"/>
      <c r="O86" s="1"/>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7"/>
      <c r="AM86" s="1"/>
    </row>
    <row r="87" spans="1:39">
      <c r="A87" s="833"/>
      <c r="B87" s="164"/>
      <c r="C87" s="1642" t="s">
        <v>163</v>
      </c>
      <c r="D87" s="1642"/>
      <c r="E87" s="1428">
        <v>0</v>
      </c>
      <c r="F87" s="976" t="s">
        <v>1527</v>
      </c>
      <c r="G87" s="1430">
        <v>0</v>
      </c>
      <c r="H87" s="1430">
        <v>0</v>
      </c>
      <c r="I87" s="1"/>
      <c r="J87" s="1"/>
      <c r="K87" s="165"/>
      <c r="L87" s="165"/>
      <c r="M87" s="165"/>
      <c r="N87" s="165"/>
      <c r="O87" s="165"/>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7"/>
      <c r="AM87" s="1"/>
    </row>
    <row r="88" spans="1:39">
      <c r="A88" s="833"/>
      <c r="B88" s="164"/>
      <c r="C88" s="1642" t="s">
        <v>1518</v>
      </c>
      <c r="D88" s="1642"/>
      <c r="E88" s="1428">
        <v>11</v>
      </c>
      <c r="F88" s="976" t="s">
        <v>281</v>
      </c>
      <c r="G88" s="1430">
        <v>1458005.1122000001</v>
      </c>
      <c r="H88" s="1430">
        <v>927806.11220000009</v>
      </c>
      <c r="I88" s="1"/>
      <c r="J88" s="1"/>
      <c r="K88" s="1"/>
      <c r="L88" s="1"/>
      <c r="M88" s="1"/>
      <c r="N88" s="1"/>
      <c r="O88" s="1"/>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7"/>
      <c r="AM88" s="1"/>
    </row>
    <row r="89" spans="1:39">
      <c r="A89" s="833"/>
      <c r="B89" s="164"/>
      <c r="C89" s="1640"/>
      <c r="D89" s="1640"/>
      <c r="E89" s="1640"/>
      <c r="F89" s="1640"/>
      <c r="G89" s="1640"/>
      <c r="H89" s="1640"/>
      <c r="I89" s="164"/>
      <c r="J89" s="164"/>
      <c r="K89" s="165"/>
      <c r="L89" s="165"/>
      <c r="M89" s="165"/>
      <c r="N89" s="165"/>
      <c r="O89" s="165"/>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7"/>
      <c r="AM89" s="1"/>
    </row>
    <row r="90" spans="1:39" ht="29.25" customHeight="1">
      <c r="A90" s="833"/>
      <c r="B90" s="164"/>
      <c r="C90" s="1639" t="s">
        <v>1567</v>
      </c>
      <c r="D90" s="1639"/>
      <c r="E90" s="1639"/>
      <c r="F90" s="1639"/>
      <c r="G90" s="1431">
        <v>4068586</v>
      </c>
      <c r="H90" s="1422"/>
      <c r="I90" s="1"/>
      <c r="J90" s="1"/>
      <c r="K90" s="1"/>
      <c r="L90" s="1"/>
      <c r="M90" s="1"/>
      <c r="N90" s="1"/>
      <c r="O90" s="1"/>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7"/>
      <c r="AM90" s="1"/>
    </row>
    <row r="91" spans="1:39">
      <c r="A91" s="833"/>
      <c r="B91" s="164"/>
      <c r="C91" s="164"/>
      <c r="D91" s="173"/>
      <c r="E91" s="1423"/>
      <c r="F91" s="168"/>
      <c r="G91" s="559"/>
      <c r="H91" s="1"/>
      <c r="I91" s="1"/>
      <c r="J91" s="1"/>
      <c r="K91" s="1"/>
      <c r="L91" s="1"/>
      <c r="M91" s="1"/>
      <c r="N91" s="1"/>
      <c r="O91" s="1"/>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7"/>
      <c r="AM91" s="1"/>
    </row>
    <row r="92" spans="1:39">
      <c r="A92" s="833"/>
      <c r="B92" s="164"/>
      <c r="C92" s="1641" t="s">
        <v>1667</v>
      </c>
      <c r="D92" s="1641"/>
      <c r="E92" s="1425">
        <v>7</v>
      </c>
      <c r="F92" s="169" t="s">
        <v>1250</v>
      </c>
      <c r="G92" s="559"/>
      <c r="H92" s="1"/>
      <c r="I92" s="1"/>
      <c r="J92" s="1"/>
      <c r="K92" s="1"/>
      <c r="L92" s="1"/>
      <c r="M92" s="1"/>
      <c r="N92" s="1"/>
      <c r="O92" s="1"/>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7"/>
      <c r="AM92" s="1"/>
    </row>
    <row r="93" spans="1:39" ht="17.25" customHeight="1">
      <c r="A93" s="1"/>
      <c r="B93" s="164"/>
      <c r="C93" s="1641" t="s">
        <v>1668</v>
      </c>
      <c r="D93" s="1641"/>
      <c r="E93" s="1425">
        <v>0</v>
      </c>
      <c r="F93" s="169" t="s">
        <v>1251</v>
      </c>
      <c r="G93" s="559"/>
      <c r="H93" s="1"/>
      <c r="I93" s="1"/>
      <c r="J93" s="1"/>
      <c r="K93" s="1"/>
      <c r="L93" s="1"/>
      <c r="M93" s="1"/>
      <c r="N93" s="1"/>
      <c r="O93" s="1"/>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7"/>
      <c r="AM93" s="1"/>
    </row>
    <row r="94" spans="1:39">
      <c r="A94" s="1"/>
      <c r="B94" s="164"/>
      <c r="C94" s="164"/>
      <c r="D94" s="173"/>
      <c r="E94" s="174"/>
      <c r="F94" s="168"/>
      <c r="G94" s="559"/>
      <c r="H94" s="1"/>
      <c r="I94" s="1"/>
      <c r="J94" s="1"/>
      <c r="K94" s="1"/>
      <c r="L94" s="1"/>
      <c r="M94" s="1"/>
      <c r="N94" s="1"/>
      <c r="O94" s="1"/>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7"/>
      <c r="AM94" s="1"/>
    </row>
    <row r="95" spans="1:39">
      <c r="A95" s="1"/>
      <c r="B95" s="164"/>
      <c r="C95" s="164"/>
      <c r="D95" s="164"/>
      <c r="E95" s="164"/>
      <c r="F95" s="172"/>
      <c r="G95" s="164"/>
      <c r="H95" s="165"/>
      <c r="I95" s="165"/>
      <c r="J95" s="165"/>
      <c r="K95" s="1"/>
      <c r="L95" s="1"/>
      <c r="M95" s="1"/>
      <c r="N95" s="1"/>
      <c r="O95" s="1"/>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7"/>
      <c r="AM95" s="1"/>
    </row>
    <row r="96" spans="1:39" ht="18.75" customHeight="1">
      <c r="A96" s="1"/>
      <c r="B96" s="164"/>
      <c r="C96" s="1631" t="s">
        <v>1556</v>
      </c>
      <c r="D96" s="1631"/>
      <c r="E96" s="1631"/>
      <c r="F96" s="1631"/>
      <c r="G96" s="1631"/>
      <c r="H96" s="1"/>
      <c r="I96" s="1"/>
      <c r="J96" s="1"/>
      <c r="K96" s="1"/>
      <c r="L96" s="1"/>
      <c r="M96" s="1"/>
      <c r="N96" s="1"/>
      <c r="O96" s="1"/>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7"/>
      <c r="AM96" s="1"/>
    </row>
    <row r="97" spans="1:39">
      <c r="A97" s="1"/>
      <c r="B97" s="164"/>
      <c r="C97" s="1630" t="s">
        <v>46</v>
      </c>
      <c r="D97" s="1630"/>
      <c r="E97" s="1428">
        <v>1</v>
      </c>
      <c r="F97" s="1418"/>
      <c r="G97" s="1418"/>
      <c r="H97" s="1"/>
      <c r="I97" s="1"/>
      <c r="J97" s="1"/>
      <c r="K97" s="1"/>
      <c r="L97" s="1"/>
      <c r="M97" s="1"/>
      <c r="N97" s="1"/>
      <c r="O97" s="1"/>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7"/>
      <c r="AM97" s="1"/>
    </row>
    <row r="98" spans="1:39">
      <c r="A98" s="1"/>
      <c r="B98" s="164"/>
      <c r="C98" s="1630" t="s">
        <v>277</v>
      </c>
      <c r="D98" s="1630"/>
      <c r="E98" s="1428">
        <v>0</v>
      </c>
      <c r="F98" s="1424"/>
      <c r="G98" s="1424"/>
      <c r="H98" s="164"/>
      <c r="I98" s="164"/>
      <c r="J98" s="164"/>
      <c r="K98" s="165"/>
      <c r="L98" s="165"/>
      <c r="M98" s="165"/>
      <c r="N98" s="165"/>
      <c r="O98" s="165"/>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7"/>
      <c r="AM98" s="1"/>
    </row>
    <row r="99" spans="1:39">
      <c r="A99" s="1"/>
      <c r="B99" s="164"/>
      <c r="C99" s="1630" t="s">
        <v>282</v>
      </c>
      <c r="D99" s="1630"/>
      <c r="E99" s="1428">
        <v>4</v>
      </c>
      <c r="F99" s="1418"/>
      <c r="G99" s="1418"/>
      <c r="H99" s="164"/>
      <c r="I99" s="164"/>
      <c r="J99" s="164"/>
      <c r="K99" s="1"/>
      <c r="L99" s="1"/>
      <c r="M99" s="1"/>
      <c r="N99" s="1"/>
      <c r="O99" s="1"/>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7"/>
      <c r="AM99" s="1"/>
    </row>
    <row r="100" spans="1:39">
      <c r="A100" s="1"/>
      <c r="B100" s="164"/>
      <c r="C100" s="1630" t="s">
        <v>283</v>
      </c>
      <c r="D100" s="1630"/>
      <c r="E100" s="1428">
        <v>0</v>
      </c>
      <c r="F100" s="1424"/>
      <c r="G100" s="1424"/>
      <c r="H100" s="164"/>
      <c r="I100" s="164"/>
      <c r="J100" s="164"/>
      <c r="K100" s="165"/>
      <c r="L100" s="165"/>
      <c r="M100" s="165"/>
      <c r="N100" s="165"/>
      <c r="O100" s="165"/>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7"/>
      <c r="AM100" s="1"/>
    </row>
    <row r="101" spans="1:39" s="832" customFormat="1">
      <c r="A101" s="833"/>
      <c r="B101" s="164"/>
      <c r="C101" s="1630" t="s">
        <v>1399</v>
      </c>
      <c r="D101" s="1630"/>
      <c r="E101" s="1428">
        <v>0</v>
      </c>
      <c r="F101" s="1424"/>
      <c r="G101" s="1424"/>
      <c r="H101" s="164"/>
      <c r="I101" s="164"/>
      <c r="J101" s="164"/>
      <c r="K101" s="165"/>
      <c r="L101" s="165"/>
      <c r="M101" s="165"/>
      <c r="N101" s="165"/>
      <c r="O101" s="165"/>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7"/>
      <c r="AM101" s="833"/>
    </row>
    <row r="102" spans="1:39">
      <c r="A102" s="1"/>
      <c r="B102" s="164"/>
      <c r="C102" s="1630" t="s">
        <v>280</v>
      </c>
      <c r="D102" s="1630"/>
      <c r="E102" s="1428">
        <v>1</v>
      </c>
      <c r="F102" s="1418"/>
      <c r="G102" s="1418"/>
      <c r="H102" s="164"/>
      <c r="I102" s="164"/>
      <c r="J102" s="164"/>
      <c r="K102" s="1"/>
      <c r="L102" s="1"/>
      <c r="M102" s="1"/>
      <c r="N102" s="1"/>
      <c r="O102" s="1"/>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7"/>
      <c r="AM102" s="1"/>
    </row>
    <row r="103" spans="1:39" s="832" customFormat="1">
      <c r="A103" s="833"/>
      <c r="B103" s="164"/>
      <c r="C103" s="1630" t="s">
        <v>1400</v>
      </c>
      <c r="D103" s="1630"/>
      <c r="E103" s="1428">
        <v>0</v>
      </c>
      <c r="F103" s="1418"/>
      <c r="G103" s="1418"/>
      <c r="H103" s="164"/>
      <c r="I103" s="164"/>
      <c r="J103" s="164"/>
      <c r="K103" s="833"/>
      <c r="L103" s="833"/>
      <c r="M103" s="833"/>
      <c r="N103" s="833"/>
      <c r="O103" s="833"/>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7"/>
      <c r="AM103" s="833"/>
    </row>
    <row r="104" spans="1:39">
      <c r="A104" s="1"/>
      <c r="B104" s="164"/>
      <c r="C104" s="1630" t="s">
        <v>1031</v>
      </c>
      <c r="D104" s="1630"/>
      <c r="E104" s="1428">
        <f>SUM(E97:E102)</f>
        <v>6</v>
      </c>
      <c r="F104" s="1424"/>
      <c r="G104" s="1424"/>
      <c r="H104" s="164"/>
      <c r="I104" s="164"/>
      <c r="J104" s="164"/>
      <c r="K104" s="1"/>
      <c r="L104" s="1"/>
      <c r="M104" s="1"/>
      <c r="N104" s="1"/>
      <c r="O104" s="1"/>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7"/>
      <c r="AM104" s="1"/>
    </row>
    <row r="105" spans="1:39">
      <c r="A105" s="1"/>
      <c r="B105" s="164"/>
      <c r="C105" s="1626"/>
      <c r="D105" s="1627"/>
      <c r="E105" s="1627"/>
      <c r="F105" s="1627"/>
      <c r="G105" s="1628"/>
      <c r="H105" s="164"/>
      <c r="I105" s="168"/>
      <c r="J105" s="164"/>
      <c r="K105" s="1"/>
      <c r="L105" s="1"/>
      <c r="M105" s="1"/>
      <c r="N105" s="1"/>
      <c r="O105" s="1"/>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7"/>
      <c r="AM105" s="1"/>
    </row>
    <row r="106" spans="1:39" ht="18.75">
      <c r="A106" s="1"/>
      <c r="B106" s="164"/>
      <c r="C106" s="1629" t="s">
        <v>1569</v>
      </c>
      <c r="D106" s="1629"/>
      <c r="E106" s="1533" t="s">
        <v>1525</v>
      </c>
      <c r="F106" s="1528"/>
      <c r="G106" s="1533" t="s">
        <v>1534</v>
      </c>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7"/>
      <c r="AM106" s="1"/>
    </row>
    <row r="107" spans="1:39">
      <c r="A107" s="1"/>
      <c r="B107" s="164"/>
      <c r="C107" s="1630" t="s">
        <v>37</v>
      </c>
      <c r="D107" s="1630"/>
      <c r="E107" s="1428">
        <v>1</v>
      </c>
      <c r="F107" s="1541"/>
      <c r="G107" s="1430">
        <v>0</v>
      </c>
      <c r="H107" s="164"/>
      <c r="I107" s="164"/>
      <c r="J107" s="164"/>
      <c r="K107" s="1"/>
      <c r="L107" s="1"/>
      <c r="M107" s="1"/>
      <c r="N107" s="1"/>
      <c r="O107" s="1"/>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7"/>
      <c r="AM107" s="1"/>
    </row>
    <row r="108" spans="1:39">
      <c r="A108" s="1"/>
      <c r="B108" s="164"/>
      <c r="C108" s="1630" t="s">
        <v>284</v>
      </c>
      <c r="D108" s="1630"/>
      <c r="E108" s="1428">
        <v>4</v>
      </c>
      <c r="F108" s="1541"/>
      <c r="G108" s="1430">
        <v>14782.5</v>
      </c>
      <c r="H108" s="164"/>
      <c r="I108" s="164"/>
      <c r="J108" s="164"/>
      <c r="K108" s="165"/>
      <c r="L108" s="165"/>
      <c r="M108" s="165"/>
      <c r="N108" s="165"/>
      <c r="O108" s="165"/>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7"/>
      <c r="AM108" s="1"/>
    </row>
    <row r="109" spans="1:39">
      <c r="A109" s="1"/>
      <c r="B109" s="164"/>
      <c r="C109" s="1630" t="s">
        <v>285</v>
      </c>
      <c r="D109" s="1630"/>
      <c r="E109" s="1428">
        <v>0</v>
      </c>
      <c r="F109" s="1541"/>
      <c r="G109" s="1430">
        <v>0</v>
      </c>
      <c r="H109" s="164"/>
      <c r="I109" s="164"/>
      <c r="J109" s="164"/>
      <c r="K109" s="1"/>
      <c r="L109" s="1"/>
      <c r="M109" s="1"/>
      <c r="N109" s="1"/>
      <c r="O109" s="1"/>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7"/>
      <c r="AM109" s="1"/>
    </row>
    <row r="110" spans="1:39">
      <c r="A110" s="1"/>
      <c r="B110" s="164"/>
      <c r="C110" s="1630" t="s">
        <v>133</v>
      </c>
      <c r="D110" s="1630"/>
      <c r="E110" s="1428">
        <v>1</v>
      </c>
      <c r="F110" s="1541"/>
      <c r="G110" s="1430">
        <v>0</v>
      </c>
      <c r="H110" s="164"/>
      <c r="I110" s="164"/>
      <c r="J110" s="164"/>
      <c r="K110" s="165"/>
      <c r="L110" s="165"/>
      <c r="M110" s="165"/>
      <c r="N110" s="165"/>
      <c r="O110" s="165"/>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7"/>
      <c r="AM110" s="1"/>
    </row>
    <row r="111" spans="1:39">
      <c r="A111" s="1"/>
      <c r="B111" s="164"/>
      <c r="C111" s="1630" t="s">
        <v>163</v>
      </c>
      <c r="D111" s="1630"/>
      <c r="E111" s="1428">
        <v>0</v>
      </c>
      <c r="F111" s="1541"/>
      <c r="G111" s="1430">
        <v>0</v>
      </c>
      <c r="H111" s="164"/>
      <c r="I111" s="164"/>
      <c r="J111" s="164"/>
      <c r="K111" s="1"/>
      <c r="L111" s="1"/>
      <c r="M111" s="1"/>
      <c r="N111" s="1"/>
      <c r="O111" s="1"/>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
      <c r="AM111" s="1"/>
    </row>
    <row r="112" spans="1:39">
      <c r="A112" s="1"/>
      <c r="B112" s="1"/>
      <c r="C112" s="1630" t="s">
        <v>1558</v>
      </c>
      <c r="D112" s="1630"/>
      <c r="E112" s="1429">
        <v>6</v>
      </c>
      <c r="F112" s="1542"/>
      <c r="G112" s="1430">
        <v>14782.5</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3:7">
      <c r="C113" s="1"/>
      <c r="D113" s="1"/>
      <c r="E113" s="1"/>
      <c r="F113" s="1"/>
      <c r="G113" s="1"/>
    </row>
  </sheetData>
  <mergeCells count="52">
    <mergeCell ref="F78:H78"/>
    <mergeCell ref="A8:N8"/>
    <mergeCell ref="O8:AF8"/>
    <mergeCell ref="C70:D70"/>
    <mergeCell ref="C71:D71"/>
    <mergeCell ref="C77:D77"/>
    <mergeCell ref="E70:H70"/>
    <mergeCell ref="E71:H71"/>
    <mergeCell ref="E72:H72"/>
    <mergeCell ref="E73:H73"/>
    <mergeCell ref="E74:H74"/>
    <mergeCell ref="E75:H75"/>
    <mergeCell ref="E76:H76"/>
    <mergeCell ref="E77:H77"/>
    <mergeCell ref="C78:D78"/>
    <mergeCell ref="C83:D83"/>
    <mergeCell ref="C84:D84"/>
    <mergeCell ref="C72:D72"/>
    <mergeCell ref="C73:D73"/>
    <mergeCell ref="C74:D74"/>
    <mergeCell ref="C75:D75"/>
    <mergeCell ref="C76:D76"/>
    <mergeCell ref="C93:D93"/>
    <mergeCell ref="C97:D97"/>
    <mergeCell ref="C98:D98"/>
    <mergeCell ref="C99:D99"/>
    <mergeCell ref="C85:D85"/>
    <mergeCell ref="C86:D86"/>
    <mergeCell ref="C87:D87"/>
    <mergeCell ref="C88:D88"/>
    <mergeCell ref="C92:D92"/>
    <mergeCell ref="C100:D100"/>
    <mergeCell ref="C101:D101"/>
    <mergeCell ref="C102:D102"/>
    <mergeCell ref="C103:D103"/>
    <mergeCell ref="C104:D104"/>
    <mergeCell ref="C105:G105"/>
    <mergeCell ref="C106:D106"/>
    <mergeCell ref="C112:D112"/>
    <mergeCell ref="C96:G96"/>
    <mergeCell ref="C69:H69"/>
    <mergeCell ref="C79:H79"/>
    <mergeCell ref="C80:H80"/>
    <mergeCell ref="C81:H81"/>
    <mergeCell ref="C82:D82"/>
    <mergeCell ref="C90:F90"/>
    <mergeCell ref="C89:H89"/>
    <mergeCell ref="C107:D107"/>
    <mergeCell ref="C108:D108"/>
    <mergeCell ref="C109:D109"/>
    <mergeCell ref="C110:D110"/>
    <mergeCell ref="C111:D111"/>
  </mergeCells>
  <dataValidations count="3">
    <dataValidation type="list" allowBlank="1" sqref="R13 W60 W64 W62">
      <formula1>"Pipeline,Vehicle Fuel,Both,Other,Unknown"</formula1>
    </dataValidation>
    <dataValidation type="list" allowBlank="1" sqref="R13 R26 W64 W60 W62">
      <formula1>"Pipeline,Vehicle Fuel,Both,Unknown,Other"</formula1>
    </dataValidation>
    <dataValidation type="list" allowBlank="1" showInputMessage="1" showErrorMessage="1" sqref="F64 F60 F62">
      <formula1>#REF!</formula1>
    </dataValidation>
  </dataValidations>
  <hyperlinks>
    <hyperlink ref="AC49" r:id="rId1"/>
    <hyperlink ref="AC50" r:id="rId2"/>
    <hyperlink ref="AC55" r:id="rId3"/>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'List Values'!$A$9:$A$17</xm:f>
          </x14:formula1>
          <xm:sqref>A11:A21 A65 A47:A55 A23:A45 A57:A59 A61 F63</xm:sqref>
        </x14:dataValidation>
        <x14:dataValidation type="list" allowBlank="1" showInputMessage="1" showErrorMessage="1">
          <x14:formula1>
            <xm:f>'List Values'!$A$2:$A$6</xm:f>
          </x14:formula1>
          <xm:sqref>Q11:Q21 Q47:Q59 Q23:Q45</xm:sqref>
        </x14:dataValidation>
        <x14:dataValidation type="list" allowBlank="1" showInputMessage="1" showErrorMessage="1">
          <x14:formula1>
            <xm:f>'C:\Users\vos\Desktop\Energy Vision\ANL database project\2018 update\Complete database\[RNG_Database_update_2018 12.10.18.xlsx]List Values'!#REF!</xm:f>
          </x14:formula1>
          <xm:sqref>A56</xm:sqref>
        </x14:dataValidation>
        <x14:dataValidation type="list" allowBlank="1">
          <x14:formula1>
            <xm:f>'List Values'!$A$2:$A$6</xm:f>
          </x14:formula1>
          <xm:sqref>Q61 Q65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1"/>
  <sheetViews>
    <sheetView zoomScaleNormal="100" workbookViewId="0">
      <pane ySplit="8" topLeftCell="A9" activePane="bottomLeft" state="frozen"/>
      <selection activeCell="W1" sqref="W1"/>
      <selection pane="bottomLeft" activeCell="P23" sqref="P23"/>
    </sheetView>
  </sheetViews>
  <sheetFormatPr defaultColWidth="52.42578125" defaultRowHeight="15"/>
  <cols>
    <col min="1" max="1" width="12" customWidth="1"/>
    <col min="2" max="2" width="13.140625" customWidth="1"/>
    <col min="3" max="3" width="16" customWidth="1"/>
    <col min="4" max="4" width="19.140625" customWidth="1"/>
    <col min="5" max="5" width="9.5703125" customWidth="1"/>
    <col min="6" max="6" width="19.140625" customWidth="1"/>
    <col min="7" max="7" width="13" customWidth="1"/>
    <col min="8" max="8" width="13.7109375" customWidth="1"/>
    <col min="9" max="9" width="34.7109375" customWidth="1"/>
    <col min="10" max="10" width="10.42578125" customWidth="1"/>
    <col min="11" max="11" width="9.7109375" customWidth="1"/>
    <col min="12" max="12" width="8" customWidth="1"/>
    <col min="13" max="13" width="11.5703125" customWidth="1"/>
    <col min="14" max="14" width="10.28515625" customWidth="1"/>
    <col min="15" max="15" width="8.28515625" customWidth="1"/>
    <col min="16" max="16" width="9.85546875" customWidth="1"/>
    <col min="17" max="17" width="7.5703125" customWidth="1"/>
    <col min="18" max="18" width="8" customWidth="1"/>
    <col min="19" max="19" width="7.85546875" customWidth="1"/>
    <col min="20" max="20" width="7.28515625" customWidth="1"/>
    <col min="21" max="21" width="9.5703125" customWidth="1"/>
    <col min="22" max="22" width="10.7109375" customWidth="1"/>
    <col min="23" max="23" width="10.140625" customWidth="1"/>
    <col min="24" max="24" width="8.42578125" customWidth="1"/>
    <col min="25" max="25" width="5.5703125" customWidth="1"/>
    <col min="26" max="26" width="41.7109375" customWidth="1"/>
    <col min="27" max="27" width="3.28515625" bestFit="1" customWidth="1"/>
    <col min="28" max="28" width="60" customWidth="1"/>
    <col min="33" max="33" width="34.85546875" customWidth="1"/>
    <col min="34" max="34" width="21.28515625" customWidth="1"/>
    <col min="35" max="35" width="18.42578125" customWidth="1"/>
  </cols>
  <sheetData>
    <row r="1" spans="1:35" ht="15.75">
      <c r="A1" s="2" t="s">
        <v>0</v>
      </c>
      <c r="B1" s="3" t="s">
        <v>1</v>
      </c>
      <c r="C1" s="1502"/>
      <c r="D1" s="1503"/>
      <c r="E1" s="4" t="s">
        <v>2</v>
      </c>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5">
      <c r="A2" s="1"/>
      <c r="B2" s="6" t="s">
        <v>1521</v>
      </c>
      <c r="C2" s="1504"/>
      <c r="D2" s="1505"/>
      <c r="E2" s="4" t="s">
        <v>3</v>
      </c>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5">
      <c r="A3" s="1"/>
      <c r="B3" s="7" t="s">
        <v>1537</v>
      </c>
      <c r="C3" s="1506"/>
      <c r="D3" s="150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5">
      <c r="A4" s="1"/>
      <c r="B4" s="1407" t="s">
        <v>1522</v>
      </c>
      <c r="C4" s="1510"/>
      <c r="D4" s="151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5">
      <c r="A5" s="1"/>
      <c r="B5" s="1416" t="s">
        <v>1523</v>
      </c>
      <c r="C5" s="1512"/>
      <c r="D5" s="1513"/>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5">
      <c r="A6" s="1"/>
      <c r="E6" s="1"/>
      <c r="F6" s="1"/>
      <c r="G6" s="1"/>
      <c r="H6" s="1"/>
      <c r="I6" s="1"/>
      <c r="J6" s="1"/>
      <c r="K6" s="1"/>
      <c r="L6" s="1"/>
      <c r="M6" s="1"/>
      <c r="N6" s="1"/>
      <c r="O6" s="1"/>
      <c r="P6" s="1"/>
      <c r="Q6" s="1"/>
      <c r="R6" s="1"/>
      <c r="S6" s="1"/>
      <c r="T6" s="1"/>
      <c r="U6" s="1"/>
      <c r="V6" s="1"/>
      <c r="W6" s="1"/>
      <c r="X6" s="1"/>
      <c r="Y6" s="1"/>
      <c r="Z6" s="1"/>
      <c r="AA6" s="1"/>
      <c r="AB6" s="1"/>
      <c r="AC6" s="1"/>
      <c r="AD6" s="832"/>
      <c r="AE6" s="832"/>
      <c r="AF6" s="832"/>
      <c r="AG6" s="832"/>
      <c r="AH6" s="832"/>
      <c r="AI6" s="832"/>
    </row>
    <row r="7" spans="1:35" ht="15.75">
      <c r="A7" s="1643" t="s">
        <v>1464</v>
      </c>
      <c r="B7" s="1644"/>
      <c r="C7" s="1644"/>
      <c r="D7" s="1644"/>
      <c r="E7" s="1644"/>
      <c r="F7" s="1644"/>
      <c r="G7" s="1644"/>
      <c r="H7" s="1644"/>
      <c r="I7" s="1644"/>
      <c r="J7" s="1644"/>
      <c r="K7" s="1644"/>
      <c r="L7" s="1644"/>
      <c r="M7" s="1645"/>
      <c r="N7" s="1643" t="s">
        <v>1462</v>
      </c>
      <c r="O7" s="1644"/>
      <c r="P7" s="1644"/>
      <c r="Q7" s="1644"/>
      <c r="R7" s="1644"/>
      <c r="S7" s="1644"/>
      <c r="T7" s="1644"/>
      <c r="U7" s="1644"/>
      <c r="V7" s="1644"/>
      <c r="W7" s="1644"/>
      <c r="X7" s="1644"/>
      <c r="Y7" s="1644"/>
      <c r="Z7" s="1644"/>
      <c r="AA7" s="1644"/>
      <c r="AB7" s="1645"/>
      <c r="AC7" s="832"/>
      <c r="AD7" s="832"/>
      <c r="AE7" s="832"/>
      <c r="AF7" s="832"/>
      <c r="AG7" s="832"/>
      <c r="AH7" s="832"/>
      <c r="AI7" s="832"/>
    </row>
    <row r="8" spans="1:35" ht="89.25">
      <c r="A8" s="1331" t="s">
        <v>6</v>
      </c>
      <c r="B8" s="1331" t="s">
        <v>286</v>
      </c>
      <c r="C8" s="1331" t="s">
        <v>287</v>
      </c>
      <c r="D8" s="1331" t="s">
        <v>288</v>
      </c>
      <c r="E8" s="1331" t="s">
        <v>8</v>
      </c>
      <c r="F8" s="1331" t="s">
        <v>9</v>
      </c>
      <c r="G8" s="1331" t="s">
        <v>1448</v>
      </c>
      <c r="H8" s="1331" t="s">
        <v>11</v>
      </c>
      <c r="I8" s="1331" t="s">
        <v>14</v>
      </c>
      <c r="J8" s="1316" t="s">
        <v>12</v>
      </c>
      <c r="K8" s="1316" t="s">
        <v>289</v>
      </c>
      <c r="L8" s="1316" t="s">
        <v>290</v>
      </c>
      <c r="M8" s="1316" t="s">
        <v>291</v>
      </c>
      <c r="N8" s="1316" t="s">
        <v>292</v>
      </c>
      <c r="O8" s="1316" t="s">
        <v>293</v>
      </c>
      <c r="P8" s="1316" t="s">
        <v>294</v>
      </c>
      <c r="Q8" s="1316" t="s">
        <v>295</v>
      </c>
      <c r="R8" s="1316" t="s">
        <v>1463</v>
      </c>
      <c r="S8" s="1316" t="s">
        <v>20</v>
      </c>
      <c r="T8" s="1316" t="s">
        <v>21</v>
      </c>
      <c r="U8" s="1316" t="s">
        <v>1485</v>
      </c>
      <c r="V8" s="1316" t="s">
        <v>296</v>
      </c>
      <c r="W8" s="1299" t="s">
        <v>1495</v>
      </c>
      <c r="X8" s="1316" t="s">
        <v>297</v>
      </c>
      <c r="Y8" s="1317" t="s">
        <v>1458</v>
      </c>
      <c r="Z8" s="1500" t="s">
        <v>1469</v>
      </c>
      <c r="AA8" s="832"/>
      <c r="AB8" s="832"/>
      <c r="AC8" s="832"/>
      <c r="AD8" s="832"/>
      <c r="AE8" s="832"/>
      <c r="AF8" s="832"/>
    </row>
    <row r="9" spans="1:35" ht="15.75">
      <c r="A9" s="175"/>
      <c r="B9" s="669" t="s">
        <v>26</v>
      </c>
      <c r="C9" s="175"/>
      <c r="D9" s="175"/>
      <c r="E9" s="175"/>
      <c r="F9" s="175"/>
      <c r="G9" s="175"/>
      <c r="H9" s="175"/>
      <c r="I9" s="175"/>
      <c r="J9" s="175"/>
      <c r="K9" s="175"/>
      <c r="L9" s="175"/>
      <c r="M9" s="175"/>
      <c r="N9" s="175"/>
      <c r="O9" s="175"/>
      <c r="P9" s="175"/>
      <c r="Q9" s="175"/>
      <c r="R9" s="175"/>
      <c r="S9" s="175"/>
      <c r="T9" s="175"/>
      <c r="U9" s="175"/>
      <c r="V9" s="175"/>
      <c r="W9" s="175"/>
      <c r="X9" s="175"/>
      <c r="Y9" s="175"/>
      <c r="Z9" s="682"/>
      <c r="AA9" s="832"/>
      <c r="AB9" s="832"/>
      <c r="AC9" s="832"/>
      <c r="AD9" s="832"/>
      <c r="AE9" s="832"/>
      <c r="AF9" s="832"/>
    </row>
    <row r="10" spans="1:35" ht="60.75" customHeight="1">
      <c r="A10" s="177" t="s">
        <v>31</v>
      </c>
      <c r="B10" s="1145" t="s">
        <v>349</v>
      </c>
      <c r="C10" s="1140"/>
      <c r="D10" s="1140" t="s">
        <v>350</v>
      </c>
      <c r="E10" s="1155" t="s">
        <v>50</v>
      </c>
      <c r="F10" s="1140">
        <v>2015</v>
      </c>
      <c r="G10" s="1140" t="s">
        <v>117</v>
      </c>
      <c r="H10" s="1140" t="s">
        <v>351</v>
      </c>
      <c r="I10" s="1140" t="s">
        <v>352</v>
      </c>
      <c r="J10" s="1164" t="s">
        <v>353</v>
      </c>
      <c r="K10" s="1164" t="s">
        <v>354</v>
      </c>
      <c r="L10" s="1457" t="s">
        <v>355</v>
      </c>
      <c r="M10" s="1140" t="s">
        <v>356</v>
      </c>
      <c r="N10" s="1140" t="s">
        <v>357</v>
      </c>
      <c r="O10" s="1172">
        <v>73300</v>
      </c>
      <c r="P10" s="1174">
        <f>O10*0.6</f>
        <v>43980</v>
      </c>
      <c r="Q10" s="1174">
        <f>P10*0.001*365*0.9</f>
        <v>14447.43</v>
      </c>
      <c r="R10" s="1458" t="s">
        <v>1444</v>
      </c>
      <c r="S10" s="1174">
        <f>Q10/0.112194</f>
        <v>128771.85945772502</v>
      </c>
      <c r="T10" s="1172"/>
      <c r="U10" s="1286"/>
      <c r="V10" s="1187" t="s">
        <v>66</v>
      </c>
      <c r="W10" s="1187"/>
      <c r="X10" s="1140"/>
      <c r="Y10" s="1192" t="s">
        <v>27</v>
      </c>
      <c r="Z10" s="982" t="s">
        <v>1241</v>
      </c>
      <c r="AA10" s="832"/>
      <c r="AB10" s="832"/>
      <c r="AC10" s="832"/>
      <c r="AD10" s="832"/>
      <c r="AE10" s="832"/>
      <c r="AF10" s="832"/>
    </row>
    <row r="11" spans="1:35" ht="75.75" customHeight="1">
      <c r="A11" s="184" t="s">
        <v>31</v>
      </c>
      <c r="B11" s="223" t="s">
        <v>318</v>
      </c>
      <c r="C11" s="184" t="s">
        <v>319</v>
      </c>
      <c r="D11" s="184" t="s">
        <v>320</v>
      </c>
      <c r="E11" s="224" t="s">
        <v>50</v>
      </c>
      <c r="F11" s="184">
        <v>2016</v>
      </c>
      <c r="G11" s="184" t="s">
        <v>117</v>
      </c>
      <c r="H11" s="184" t="s">
        <v>321</v>
      </c>
      <c r="I11" s="184" t="s">
        <v>322</v>
      </c>
      <c r="J11" s="1456" t="s">
        <v>323</v>
      </c>
      <c r="K11" s="1165" t="s">
        <v>1687</v>
      </c>
      <c r="L11" s="1169" t="s">
        <v>1688</v>
      </c>
      <c r="M11" s="184" t="s">
        <v>324</v>
      </c>
      <c r="N11" s="184" t="s">
        <v>357</v>
      </c>
      <c r="O11" s="184"/>
      <c r="P11" s="227">
        <f>347250*2</f>
        <v>694500</v>
      </c>
      <c r="Q11" s="1181">
        <f>P11*0.001*365*0.9</f>
        <v>228143.25</v>
      </c>
      <c r="R11" s="931" t="s">
        <v>1445</v>
      </c>
      <c r="S11" s="1181">
        <f>Q11/0.112194</f>
        <v>2033471.0412321514</v>
      </c>
      <c r="T11" s="1169" t="s">
        <v>1362</v>
      </c>
      <c r="U11" s="1282" t="s">
        <v>405</v>
      </c>
      <c r="V11" s="1186" t="s">
        <v>66</v>
      </c>
      <c r="W11" s="1189">
        <f>11548*2</f>
        <v>23096</v>
      </c>
      <c r="X11" s="184" t="s">
        <v>325</v>
      </c>
      <c r="Y11" s="244" t="s">
        <v>27</v>
      </c>
      <c r="Z11" s="184" t="s">
        <v>1297</v>
      </c>
      <c r="AA11" s="832"/>
      <c r="AB11" s="832"/>
      <c r="AC11" s="832"/>
      <c r="AD11" s="832"/>
      <c r="AE11" s="832"/>
      <c r="AF11" s="832"/>
    </row>
    <row r="12" spans="1:35" ht="96.75" customHeight="1">
      <c r="A12" s="182" t="s">
        <v>31</v>
      </c>
      <c r="B12" s="1149" t="s">
        <v>298</v>
      </c>
      <c r="C12" s="182" t="s">
        <v>299</v>
      </c>
      <c r="D12" s="182" t="s">
        <v>300</v>
      </c>
      <c r="E12" s="1158" t="s">
        <v>50</v>
      </c>
      <c r="F12" s="182">
        <v>2015</v>
      </c>
      <c r="G12" s="182" t="s">
        <v>117</v>
      </c>
      <c r="H12" s="182" t="s">
        <v>301</v>
      </c>
      <c r="I12" s="1460" t="s">
        <v>1284</v>
      </c>
      <c r="J12" s="182"/>
      <c r="K12" s="1166" t="s">
        <v>302</v>
      </c>
      <c r="L12" s="1170" t="s">
        <v>168</v>
      </c>
      <c r="M12" s="182" t="s">
        <v>303</v>
      </c>
      <c r="N12" s="182" t="s">
        <v>304</v>
      </c>
      <c r="O12" s="182"/>
      <c r="P12" s="1178" t="s">
        <v>168</v>
      </c>
      <c r="Q12" s="1183" t="s">
        <v>168</v>
      </c>
      <c r="R12" s="1144" t="s">
        <v>1444</v>
      </c>
      <c r="S12" s="1185" t="s">
        <v>168</v>
      </c>
      <c r="T12" s="1185" t="s">
        <v>168</v>
      </c>
      <c r="U12" s="1283"/>
      <c r="V12" s="1170"/>
      <c r="W12" s="1190"/>
      <c r="X12" s="182"/>
      <c r="Y12" s="182"/>
      <c r="Z12" s="182" t="s">
        <v>1283</v>
      </c>
      <c r="AA12" s="832"/>
      <c r="AB12" s="832"/>
      <c r="AC12" s="832"/>
      <c r="AD12" s="832"/>
      <c r="AE12" s="832"/>
      <c r="AF12" s="832"/>
    </row>
    <row r="13" spans="1:35" ht="100.5" customHeight="1">
      <c r="A13" s="177" t="s">
        <v>31</v>
      </c>
      <c r="B13" s="178" t="s">
        <v>359</v>
      </c>
      <c r="C13" s="177" t="s">
        <v>360</v>
      </c>
      <c r="D13" s="177" t="s">
        <v>1480</v>
      </c>
      <c r="E13" s="179" t="s">
        <v>361</v>
      </c>
      <c r="F13" s="177" t="s">
        <v>362</v>
      </c>
      <c r="G13" s="177" t="s">
        <v>117</v>
      </c>
      <c r="H13" s="177" t="s">
        <v>363</v>
      </c>
      <c r="I13" s="984" t="s">
        <v>364</v>
      </c>
      <c r="J13" s="177"/>
      <c r="K13" s="177"/>
      <c r="L13" s="177"/>
      <c r="M13" s="1459" t="s">
        <v>1238</v>
      </c>
      <c r="N13" s="1459" t="s">
        <v>1240</v>
      </c>
      <c r="O13" s="177"/>
      <c r="P13" s="177"/>
      <c r="Q13" s="180"/>
      <c r="R13" s="1184" t="s">
        <v>1443</v>
      </c>
      <c r="S13" s="177" t="s">
        <v>168</v>
      </c>
      <c r="T13" s="177" t="s">
        <v>168</v>
      </c>
      <c r="U13" s="693" t="s">
        <v>66</v>
      </c>
      <c r="V13" s="177"/>
      <c r="W13" s="177"/>
      <c r="X13" s="1459" t="s">
        <v>1239</v>
      </c>
      <c r="Y13" s="181"/>
      <c r="Z13" s="177" t="s">
        <v>358</v>
      </c>
      <c r="AA13" s="832"/>
      <c r="AB13" s="832"/>
      <c r="AC13" s="832"/>
      <c r="AD13" s="832"/>
      <c r="AE13" s="832"/>
      <c r="AF13" s="832"/>
    </row>
    <row r="14" spans="1:35" ht="49.5" customHeight="1">
      <c r="A14" s="189" t="s">
        <v>31</v>
      </c>
      <c r="B14" s="1147" t="s">
        <v>1252</v>
      </c>
      <c r="C14" s="242" t="s">
        <v>1498</v>
      </c>
      <c r="D14" s="242" t="s">
        <v>306</v>
      </c>
      <c r="E14" s="1156" t="s">
        <v>43</v>
      </c>
      <c r="F14" s="242">
        <v>2010</v>
      </c>
      <c r="G14" s="242" t="s">
        <v>117</v>
      </c>
      <c r="H14" s="242" t="s">
        <v>307</v>
      </c>
      <c r="I14" s="242" t="s">
        <v>308</v>
      </c>
      <c r="J14" s="242"/>
      <c r="K14" s="242" t="s">
        <v>309</v>
      </c>
      <c r="L14" s="1168"/>
      <c r="M14" s="242" t="s">
        <v>310</v>
      </c>
      <c r="N14" s="242" t="s">
        <v>311</v>
      </c>
      <c r="O14" s="242"/>
      <c r="P14" s="1176">
        <f>Q14/( 0.001 * 365*0.9)</f>
        <v>403898.39999999997</v>
      </c>
      <c r="Q14" s="1180">
        <f>S14*0.112194</f>
        <v>132680.6244</v>
      </c>
      <c r="R14" s="932" t="s">
        <v>1445</v>
      </c>
      <c r="S14" s="1180">
        <f>3600*0.9*365</f>
        <v>1182600</v>
      </c>
      <c r="T14" s="1168"/>
      <c r="U14" s="1284" t="s">
        <v>1486</v>
      </c>
      <c r="V14" s="1168" t="s">
        <v>312</v>
      </c>
      <c r="W14" s="1188"/>
      <c r="X14" s="1191"/>
      <c r="Y14" s="185" t="s">
        <v>27</v>
      </c>
      <c r="Z14" s="242" t="s">
        <v>305</v>
      </c>
      <c r="AA14" s="832"/>
      <c r="AB14" s="832"/>
      <c r="AC14" s="832"/>
      <c r="AD14" s="832"/>
      <c r="AE14" s="832"/>
      <c r="AF14" s="832"/>
    </row>
    <row r="15" spans="1:35" ht="63.75" customHeight="1">
      <c r="A15" s="1150" t="s">
        <v>31</v>
      </c>
      <c r="B15" s="1146" t="s">
        <v>340</v>
      </c>
      <c r="C15" s="1141" t="s">
        <v>341</v>
      </c>
      <c r="D15" s="1154" t="s">
        <v>342</v>
      </c>
      <c r="E15" s="1154" t="s">
        <v>343</v>
      </c>
      <c r="F15" s="1159">
        <v>42948</v>
      </c>
      <c r="G15" s="581" t="s">
        <v>117</v>
      </c>
      <c r="H15" s="1141" t="s">
        <v>341</v>
      </c>
      <c r="I15" s="1141" t="s">
        <v>344</v>
      </c>
      <c r="J15" s="581" t="s">
        <v>345</v>
      </c>
      <c r="K15" s="1141"/>
      <c r="L15" s="1167"/>
      <c r="M15" s="1171" t="s">
        <v>346</v>
      </c>
      <c r="N15" s="1141" t="s">
        <v>347</v>
      </c>
      <c r="O15" s="1171"/>
      <c r="P15" s="1175">
        <v>1200000</v>
      </c>
      <c r="Q15" s="1179">
        <f>650*365</f>
        <v>237250</v>
      </c>
      <c r="R15" s="1146" t="s">
        <v>1445</v>
      </c>
      <c r="S15" s="1480">
        <f>Q15/0.112194</f>
        <v>2114640.7116245073</v>
      </c>
      <c r="T15" s="1141"/>
      <c r="U15" s="1143"/>
      <c r="V15" s="1462" t="s">
        <v>348</v>
      </c>
      <c r="W15" s="1143"/>
      <c r="X15" s="581" t="s">
        <v>168</v>
      </c>
      <c r="Y15" s="1193" t="s">
        <v>27</v>
      </c>
      <c r="Z15" s="199" t="s">
        <v>339</v>
      </c>
      <c r="AA15" s="832"/>
      <c r="AB15" s="832"/>
      <c r="AC15" s="832"/>
      <c r="AD15" s="832"/>
      <c r="AE15" s="832"/>
      <c r="AF15" s="832"/>
    </row>
    <row r="16" spans="1:35" ht="52.5" customHeight="1">
      <c r="A16" s="1151" t="s">
        <v>31</v>
      </c>
      <c r="B16" s="1148" t="s">
        <v>314</v>
      </c>
      <c r="C16" s="1152"/>
      <c r="D16" s="1139" t="s">
        <v>1481</v>
      </c>
      <c r="E16" s="1157" t="s">
        <v>148</v>
      </c>
      <c r="F16" s="1160"/>
      <c r="G16" s="1161" t="s">
        <v>117</v>
      </c>
      <c r="H16" s="1162" t="s">
        <v>315</v>
      </c>
      <c r="I16" s="1163" t="s">
        <v>1689</v>
      </c>
      <c r="J16" s="1163" t="s">
        <v>316</v>
      </c>
      <c r="K16" s="1153"/>
      <c r="L16" s="1160"/>
      <c r="M16" s="1160"/>
      <c r="N16" s="1142" t="s">
        <v>317</v>
      </c>
      <c r="O16" s="1173"/>
      <c r="P16" s="1177"/>
      <c r="Q16" s="1182">
        <v>1332249</v>
      </c>
      <c r="R16" s="1461" t="s">
        <v>1443</v>
      </c>
      <c r="S16" s="183"/>
      <c r="T16" s="1481">
        <v>11874512</v>
      </c>
      <c r="U16" s="1285"/>
      <c r="V16" s="1160"/>
      <c r="W16" s="1160"/>
      <c r="X16" s="1160"/>
      <c r="Y16" s="1108" t="s">
        <v>27</v>
      </c>
      <c r="Z16" s="1139" t="s">
        <v>313</v>
      </c>
      <c r="AA16" s="832"/>
      <c r="AB16" s="832"/>
      <c r="AC16" s="832"/>
      <c r="AD16" s="832"/>
      <c r="AE16" s="832"/>
      <c r="AF16" s="832"/>
    </row>
    <row r="17" spans="1:32" ht="15.75">
      <c r="A17" s="687"/>
      <c r="B17" s="669" t="s">
        <v>748</v>
      </c>
      <c r="C17" s="687"/>
      <c r="D17" s="687"/>
      <c r="E17" s="687"/>
      <c r="F17" s="687"/>
      <c r="G17" s="687"/>
      <c r="H17" s="687"/>
      <c r="I17" s="687"/>
      <c r="J17" s="687"/>
      <c r="K17" s="687"/>
      <c r="L17" s="687"/>
      <c r="M17" s="687"/>
      <c r="N17" s="687"/>
      <c r="O17" s="687"/>
      <c r="P17" s="687"/>
      <c r="Q17" s="1002"/>
      <c r="R17" s="687"/>
      <c r="S17" s="687"/>
      <c r="T17" s="687"/>
      <c r="U17" s="687"/>
      <c r="V17" s="687"/>
      <c r="W17" s="687"/>
      <c r="X17" s="687"/>
      <c r="Y17" s="687"/>
      <c r="Z17" s="688"/>
      <c r="AA17" s="832"/>
      <c r="AB17" s="832"/>
      <c r="AC17" s="832"/>
      <c r="AD17" s="832"/>
      <c r="AE17" s="832"/>
      <c r="AF17" s="832"/>
    </row>
    <row r="18" spans="1:32" ht="187.5" customHeight="1">
      <c r="A18" s="684" t="s">
        <v>1167</v>
      </c>
      <c r="B18" s="685" t="s">
        <v>378</v>
      </c>
      <c r="C18" s="684" t="s">
        <v>1176</v>
      </c>
      <c r="D18" s="684" t="s">
        <v>976</v>
      </c>
      <c r="E18" s="973" t="s">
        <v>50</v>
      </c>
      <c r="F18" s="1194">
        <v>43435</v>
      </c>
      <c r="G18" s="684" t="s">
        <v>135</v>
      </c>
      <c r="H18" s="684" t="s">
        <v>379</v>
      </c>
      <c r="I18" s="684" t="s">
        <v>1185</v>
      </c>
      <c r="J18" s="684" t="s">
        <v>1177</v>
      </c>
      <c r="K18" s="1003" t="s">
        <v>1178</v>
      </c>
      <c r="L18" s="1003">
        <v>1080</v>
      </c>
      <c r="M18" s="684" t="s">
        <v>1179</v>
      </c>
      <c r="N18" s="684" t="s">
        <v>380</v>
      </c>
      <c r="O18" s="684" t="s">
        <v>1180</v>
      </c>
      <c r="P18" s="686" t="s">
        <v>1181</v>
      </c>
      <c r="Q18" s="1003" t="s">
        <v>1182</v>
      </c>
      <c r="R18" s="1195" t="s">
        <v>1443</v>
      </c>
      <c r="S18" s="686" t="s">
        <v>1183</v>
      </c>
      <c r="T18" s="686" t="s">
        <v>1183</v>
      </c>
      <c r="U18" s="684" t="s">
        <v>405</v>
      </c>
      <c r="V18" s="684" t="s">
        <v>1690</v>
      </c>
      <c r="W18" s="1003">
        <v>220000</v>
      </c>
      <c r="X18" s="684" t="s">
        <v>1184</v>
      </c>
      <c r="Y18" s="684"/>
      <c r="Z18" s="684" t="s">
        <v>377</v>
      </c>
      <c r="AA18" s="832"/>
      <c r="AB18" s="832"/>
      <c r="AC18" s="832"/>
      <c r="AD18" s="832"/>
      <c r="AE18" s="832"/>
      <c r="AF18" s="832"/>
    </row>
    <row r="19" spans="1:32" ht="161.25" customHeight="1">
      <c r="A19" s="689" t="s">
        <v>96</v>
      </c>
      <c r="B19" s="690" t="s">
        <v>366</v>
      </c>
      <c r="C19" s="689" t="s">
        <v>367</v>
      </c>
      <c r="D19" s="689" t="s">
        <v>1482</v>
      </c>
      <c r="E19" s="888" t="s">
        <v>368</v>
      </c>
      <c r="F19" s="689" t="s">
        <v>369</v>
      </c>
      <c r="G19" s="689" t="s">
        <v>135</v>
      </c>
      <c r="H19" s="689" t="s">
        <v>370</v>
      </c>
      <c r="I19" s="689" t="s">
        <v>1691</v>
      </c>
      <c r="J19" s="689" t="s">
        <v>371</v>
      </c>
      <c r="K19" s="689" t="s">
        <v>372</v>
      </c>
      <c r="L19" s="689" t="s">
        <v>373</v>
      </c>
      <c r="M19" s="689" t="s">
        <v>374</v>
      </c>
      <c r="N19" s="689" t="s">
        <v>375</v>
      </c>
      <c r="O19" s="689"/>
      <c r="P19" s="1482">
        <v>3000000</v>
      </c>
      <c r="Q19" s="691">
        <f>3000*365</f>
        <v>1095000</v>
      </c>
      <c r="R19" s="690" t="s">
        <v>1443</v>
      </c>
      <c r="S19" s="691">
        <f>Q19/0.112194</f>
        <v>9759880.2074977271</v>
      </c>
      <c r="T19" s="689"/>
      <c r="U19" s="689" t="s">
        <v>66</v>
      </c>
      <c r="V19" s="689"/>
      <c r="W19" s="689"/>
      <c r="X19" s="683" t="s">
        <v>376</v>
      </c>
      <c r="Y19" s="689"/>
      <c r="Z19" s="689" t="s">
        <v>365</v>
      </c>
      <c r="AA19" s="832"/>
      <c r="AB19" s="832"/>
      <c r="AC19" s="832"/>
      <c r="AD19" s="832"/>
      <c r="AE19" s="832"/>
      <c r="AF19" s="832"/>
    </row>
    <row r="20" spans="1:32" ht="15.75">
      <c r="A20" s="229"/>
      <c r="B20" s="615" t="s">
        <v>187</v>
      </c>
      <c r="C20" s="229"/>
      <c r="D20" s="230"/>
      <c r="E20" s="229"/>
      <c r="F20" s="229"/>
      <c r="G20" s="229"/>
      <c r="H20" s="231"/>
      <c r="I20" s="231"/>
      <c r="J20" s="229"/>
      <c r="K20" s="229"/>
      <c r="L20" s="229"/>
      <c r="M20" s="229"/>
      <c r="N20" s="229"/>
      <c r="O20" s="229"/>
      <c r="P20" s="232"/>
      <c r="Q20" s="229"/>
      <c r="R20" s="229"/>
      <c r="S20" s="233"/>
      <c r="T20" s="234"/>
      <c r="U20" s="233"/>
      <c r="V20" s="229"/>
      <c r="W20" s="233"/>
      <c r="X20" s="232"/>
      <c r="Y20" s="232"/>
      <c r="Z20" s="1300"/>
      <c r="AA20" s="832"/>
      <c r="AB20" s="832"/>
      <c r="AC20" s="832"/>
      <c r="AD20" s="832"/>
      <c r="AE20" s="832"/>
      <c r="AF20" s="832"/>
    </row>
    <row r="21" spans="1:32" s="493" customFormat="1" ht="137.25" customHeight="1">
      <c r="A21" s="692" t="s">
        <v>190</v>
      </c>
      <c r="B21" s="983" t="s">
        <v>382</v>
      </c>
      <c r="C21" s="984"/>
      <c r="D21" s="985" t="s">
        <v>49</v>
      </c>
      <c r="E21" s="986" t="s">
        <v>50</v>
      </c>
      <c r="F21" s="985"/>
      <c r="G21" s="985" t="s">
        <v>135</v>
      </c>
      <c r="H21" s="985" t="s">
        <v>383</v>
      </c>
      <c r="I21" s="987" t="s">
        <v>1692</v>
      </c>
      <c r="J21" s="987"/>
      <c r="K21" s="985" t="s">
        <v>384</v>
      </c>
      <c r="L21" s="988"/>
      <c r="M21" s="985" t="s">
        <v>385</v>
      </c>
      <c r="N21" s="985"/>
      <c r="O21" s="985"/>
      <c r="P21" s="989">
        <v>1500000</v>
      </c>
      <c r="Q21" s="1455">
        <v>438000</v>
      </c>
      <c r="R21" s="990" t="s">
        <v>1445</v>
      </c>
      <c r="S21" s="991">
        <f>Q21/0.112194</f>
        <v>3903952.0829990907</v>
      </c>
      <c r="T21" s="988"/>
      <c r="U21" s="988"/>
      <c r="V21" s="988" t="s">
        <v>386</v>
      </c>
      <c r="W21" s="1338" t="s">
        <v>1494</v>
      </c>
      <c r="X21" s="992"/>
      <c r="Y21" s="1305"/>
      <c r="Z21" s="1303" t="s">
        <v>381</v>
      </c>
      <c r="AA21" s="832"/>
      <c r="AB21" s="832"/>
      <c r="AC21" s="832"/>
      <c r="AD21" s="832"/>
      <c r="AE21" s="832"/>
      <c r="AF21" s="832"/>
    </row>
    <row r="22" spans="1:32" ht="91.5" customHeight="1">
      <c r="A22" s="189" t="s">
        <v>194</v>
      </c>
      <c r="B22" s="211" t="s">
        <v>416</v>
      </c>
      <c r="C22" s="189"/>
      <c r="D22" s="189" t="s">
        <v>269</v>
      </c>
      <c r="E22" s="213" t="s">
        <v>50</v>
      </c>
      <c r="F22" s="189"/>
      <c r="G22" s="190" t="s">
        <v>135</v>
      </c>
      <c r="H22" s="189" t="s">
        <v>417</v>
      </c>
      <c r="I22" s="189" t="s">
        <v>418</v>
      </c>
      <c r="J22" s="189"/>
      <c r="K22" s="235" t="s">
        <v>419</v>
      </c>
      <c r="L22" s="236"/>
      <c r="M22" s="189" t="s">
        <v>420</v>
      </c>
      <c r="N22" s="189"/>
      <c r="O22" s="189"/>
      <c r="P22" s="217">
        <v>4400</v>
      </c>
      <c r="Q22" s="237">
        <f>P22*(0.001*365*0.9)</f>
        <v>1445.4</v>
      </c>
      <c r="R22" s="219" t="s">
        <v>1445</v>
      </c>
      <c r="S22" s="237">
        <f>Q22/0.112194</f>
        <v>12883.041873897</v>
      </c>
      <c r="T22" s="236"/>
      <c r="U22" s="236"/>
      <c r="V22" s="236" t="s">
        <v>421</v>
      </c>
      <c r="W22" s="238"/>
      <c r="X22" s="218"/>
      <c r="Y22" s="788"/>
      <c r="Z22" s="210" t="s">
        <v>415</v>
      </c>
      <c r="AA22" s="832"/>
      <c r="AB22" s="832"/>
      <c r="AC22" s="832"/>
      <c r="AD22" s="832"/>
      <c r="AE22" s="832"/>
      <c r="AF22" s="832"/>
    </row>
    <row r="23" spans="1:32" ht="81.75" customHeight="1">
      <c r="A23" s="189" t="s">
        <v>1440</v>
      </c>
      <c r="B23" s="188" t="s">
        <v>1693</v>
      </c>
      <c r="C23" s="190" t="s">
        <v>1217</v>
      </c>
      <c r="D23" s="187" t="s">
        <v>328</v>
      </c>
      <c r="E23" s="191" t="s">
        <v>50</v>
      </c>
      <c r="F23" s="192" t="s">
        <v>329</v>
      </c>
      <c r="G23" s="190" t="s">
        <v>135</v>
      </c>
      <c r="H23" s="193" t="s">
        <v>330</v>
      </c>
      <c r="I23" s="190" t="s">
        <v>331</v>
      </c>
      <c r="J23" s="190" t="s">
        <v>332</v>
      </c>
      <c r="K23" s="190" t="s">
        <v>333</v>
      </c>
      <c r="L23" s="1463">
        <v>100</v>
      </c>
      <c r="M23" s="190" t="s">
        <v>334</v>
      </c>
      <c r="N23" s="190" t="s">
        <v>335</v>
      </c>
      <c r="O23" s="190"/>
      <c r="P23" s="1615">
        <f>Q23/( 0.001 * 365*0.9)</f>
        <v>87296.153424657532</v>
      </c>
      <c r="Q23" s="194">
        <f>S23*0.112194</f>
        <v>28676.786400000001</v>
      </c>
      <c r="R23" s="930" t="s">
        <v>1444</v>
      </c>
      <c r="S23" s="195">
        <v>255600</v>
      </c>
      <c r="T23" s="196">
        <v>657000</v>
      </c>
      <c r="U23" s="196" t="s">
        <v>27</v>
      </c>
      <c r="V23" s="197" t="s">
        <v>336</v>
      </c>
      <c r="W23" s="193" t="s">
        <v>337</v>
      </c>
      <c r="X23" s="1301" t="s">
        <v>338</v>
      </c>
      <c r="Y23" s="788"/>
      <c r="Z23" s="186" t="s">
        <v>326</v>
      </c>
      <c r="AA23" s="832"/>
      <c r="AB23" s="832"/>
      <c r="AC23" s="832"/>
      <c r="AD23" s="832"/>
      <c r="AE23" s="832"/>
      <c r="AF23" s="832"/>
    </row>
    <row r="24" spans="1:32" s="493" customFormat="1" ht="89.25" customHeight="1">
      <c r="A24" s="212" t="s">
        <v>190</v>
      </c>
      <c r="B24" s="220" t="s">
        <v>423</v>
      </c>
      <c r="C24" s="212"/>
      <c r="D24" s="212" t="s">
        <v>424</v>
      </c>
      <c r="E24" s="221" t="s">
        <v>50</v>
      </c>
      <c r="F24" s="212"/>
      <c r="G24" s="190" t="s">
        <v>135</v>
      </c>
      <c r="H24" s="212" t="s">
        <v>425</v>
      </c>
      <c r="I24" s="212" t="s">
        <v>426</v>
      </c>
      <c r="J24" s="212" t="s">
        <v>427</v>
      </c>
      <c r="K24" s="212" t="s">
        <v>428</v>
      </c>
      <c r="L24" s="239"/>
      <c r="M24" s="212" t="s">
        <v>429</v>
      </c>
      <c r="N24" s="212"/>
      <c r="O24" s="212"/>
      <c r="P24" s="240" t="s">
        <v>430</v>
      </c>
      <c r="Q24" s="241">
        <f>0.001*365*240000*0.9</f>
        <v>78840</v>
      </c>
      <c r="R24" s="932" t="s">
        <v>1443</v>
      </c>
      <c r="S24" s="241">
        <f>Q24/0.112194</f>
        <v>702711.37493983633</v>
      </c>
      <c r="T24" s="239"/>
      <c r="U24" s="239"/>
      <c r="V24" s="239" t="s">
        <v>431</v>
      </c>
      <c r="W24" s="243" t="s">
        <v>1493</v>
      </c>
      <c r="X24" s="1302" t="s">
        <v>432</v>
      </c>
      <c r="Y24" s="1305"/>
      <c r="Z24" s="1339" t="s">
        <v>422</v>
      </c>
      <c r="AA24" s="832"/>
      <c r="AB24" s="832"/>
      <c r="AC24" s="832"/>
      <c r="AD24" s="832"/>
      <c r="AE24" s="832"/>
      <c r="AF24" s="832"/>
    </row>
    <row r="25" spans="1:32" s="493" customFormat="1" ht="96.75" customHeight="1">
      <c r="A25" s="189" t="s">
        <v>1440</v>
      </c>
      <c r="B25" s="211" t="s">
        <v>452</v>
      </c>
      <c r="C25" s="189"/>
      <c r="D25" s="189" t="s">
        <v>453</v>
      </c>
      <c r="E25" s="213" t="s">
        <v>170</v>
      </c>
      <c r="F25" s="189">
        <v>2013</v>
      </c>
      <c r="G25" s="190" t="s">
        <v>135</v>
      </c>
      <c r="H25" s="189" t="s">
        <v>454</v>
      </c>
      <c r="I25" s="189" t="s">
        <v>455</v>
      </c>
      <c r="J25" s="189"/>
      <c r="K25" s="189"/>
      <c r="L25" s="215"/>
      <c r="M25" s="189" t="s">
        <v>456</v>
      </c>
      <c r="N25" s="189" t="s">
        <v>457</v>
      </c>
      <c r="O25" s="189"/>
      <c r="P25" s="217">
        <v>4800</v>
      </c>
      <c r="Q25" s="217">
        <f>P25*0.001*365*0.9</f>
        <v>1576.8</v>
      </c>
      <c r="R25" s="219" t="s">
        <v>1443</v>
      </c>
      <c r="S25" s="217">
        <f>Q25/0.112194</f>
        <v>14054.227498796727</v>
      </c>
      <c r="T25" s="215"/>
      <c r="U25" s="215"/>
      <c r="V25" s="215"/>
      <c r="W25" s="215"/>
      <c r="X25" s="218"/>
      <c r="Y25" s="1305"/>
      <c r="Z25" s="182" t="s">
        <v>451</v>
      </c>
      <c r="AA25" s="832">
        <f>41300/1.1</f>
        <v>37545.454545454544</v>
      </c>
      <c r="AB25" s="832"/>
      <c r="AC25" s="832"/>
      <c r="AD25" s="832"/>
      <c r="AE25" s="832"/>
      <c r="AF25" s="832"/>
    </row>
    <row r="26" spans="1:32" s="493" customFormat="1" ht="82.5" customHeight="1">
      <c r="A26" s="212" t="s">
        <v>1440</v>
      </c>
      <c r="B26" s="211" t="s">
        <v>390</v>
      </c>
      <c r="C26" s="189" t="s">
        <v>391</v>
      </c>
      <c r="D26" s="189" t="s">
        <v>392</v>
      </c>
      <c r="E26" s="213" t="s">
        <v>212</v>
      </c>
      <c r="F26" s="189"/>
      <c r="G26" s="190" t="s">
        <v>135</v>
      </c>
      <c r="H26" s="189" t="s">
        <v>393</v>
      </c>
      <c r="I26" s="189" t="s">
        <v>1694</v>
      </c>
      <c r="J26" s="189" t="s">
        <v>394</v>
      </c>
      <c r="K26" s="189" t="s">
        <v>395</v>
      </c>
      <c r="L26" s="215"/>
      <c r="M26" s="189" t="s">
        <v>396</v>
      </c>
      <c r="N26" s="189" t="s">
        <v>397</v>
      </c>
      <c r="O26" s="216">
        <v>177000</v>
      </c>
      <c r="P26" s="217"/>
      <c r="Q26" s="217"/>
      <c r="R26" s="219" t="s">
        <v>1444</v>
      </c>
      <c r="S26" s="217"/>
      <c r="T26" s="215"/>
      <c r="U26" s="215"/>
      <c r="V26" s="215" t="s">
        <v>398</v>
      </c>
      <c r="W26" s="215"/>
      <c r="X26" s="218"/>
      <c r="Y26" s="1305"/>
      <c r="Z26" s="176" t="s">
        <v>389</v>
      </c>
      <c r="AA26" s="832"/>
      <c r="AB26" s="832"/>
      <c r="AC26" s="832"/>
      <c r="AD26" s="832"/>
      <c r="AE26" s="832"/>
      <c r="AF26" s="832"/>
    </row>
    <row r="27" spans="1:32" ht="50.25" customHeight="1">
      <c r="A27" s="189" t="s">
        <v>1441</v>
      </c>
      <c r="B27" s="211" t="s">
        <v>434</v>
      </c>
      <c r="C27" s="189"/>
      <c r="D27" s="189" t="s">
        <v>435</v>
      </c>
      <c r="E27" s="213" t="s">
        <v>43</v>
      </c>
      <c r="F27" s="189">
        <v>2012</v>
      </c>
      <c r="G27" s="190" t="s">
        <v>135</v>
      </c>
      <c r="H27" s="189" t="s">
        <v>436</v>
      </c>
      <c r="I27" s="189" t="s">
        <v>437</v>
      </c>
      <c r="J27" s="189"/>
      <c r="K27" s="189" t="s">
        <v>438</v>
      </c>
      <c r="L27" s="189"/>
      <c r="M27" s="189" t="s">
        <v>439</v>
      </c>
      <c r="N27" s="189"/>
      <c r="O27" s="189"/>
      <c r="P27" s="217">
        <f>Q27/( 0.001 * 365*0.9)</f>
        <v>381459.6</v>
      </c>
      <c r="Q27" s="217">
        <f>S27*0.112194</f>
        <v>125309.4786</v>
      </c>
      <c r="R27" s="219" t="s">
        <v>1444</v>
      </c>
      <c r="S27" s="217">
        <f>3400*0.9*365</f>
        <v>1116900</v>
      </c>
      <c r="T27" s="217"/>
      <c r="U27" s="217"/>
      <c r="V27" s="189" t="s">
        <v>440</v>
      </c>
      <c r="W27" s="189"/>
      <c r="X27" s="218"/>
      <c r="Y27" s="788"/>
      <c r="Z27" s="210" t="s">
        <v>433</v>
      </c>
      <c r="AA27" s="832"/>
      <c r="AB27" s="832"/>
      <c r="AC27" s="832"/>
      <c r="AD27" s="832"/>
      <c r="AE27" s="832"/>
      <c r="AF27" s="832"/>
    </row>
    <row r="28" spans="1:32" ht="45" customHeight="1">
      <c r="A28" s="277" t="s">
        <v>190</v>
      </c>
      <c r="B28" s="317" t="s">
        <v>1018</v>
      </c>
      <c r="C28" s="317"/>
      <c r="D28" s="776" t="s">
        <v>1019</v>
      </c>
      <c r="E28" s="777" t="s">
        <v>43</v>
      </c>
      <c r="F28" s="320">
        <v>2012</v>
      </c>
      <c r="G28" s="190" t="s">
        <v>135</v>
      </c>
      <c r="H28" s="321" t="s">
        <v>1020</v>
      </c>
      <c r="I28" s="776" t="s">
        <v>1021</v>
      </c>
      <c r="J28" s="776">
        <v>42000</v>
      </c>
      <c r="K28" s="776" t="s">
        <v>1022</v>
      </c>
      <c r="L28" s="776"/>
      <c r="M28" s="776"/>
      <c r="N28" s="776"/>
      <c r="O28" s="582">
        <f>P28/( 0.001 * 365*0.9)</f>
        <v>373980</v>
      </c>
      <c r="P28" s="1197">
        <f>T28*0.112194</f>
        <v>122852.43000000001</v>
      </c>
      <c r="Q28" s="226"/>
      <c r="R28" s="775" t="s">
        <v>1447</v>
      </c>
      <c r="S28" s="843"/>
      <c r="T28" s="715">
        <v>1095000</v>
      </c>
      <c r="U28" s="320"/>
      <c r="V28" s="320" t="s">
        <v>1023</v>
      </c>
      <c r="X28" s="336"/>
      <c r="Y28" s="788"/>
      <c r="Z28" s="750" t="s">
        <v>1017</v>
      </c>
      <c r="AA28" s="832"/>
      <c r="AB28" s="832"/>
      <c r="AC28" s="832"/>
      <c r="AD28" s="832"/>
      <c r="AE28" s="832"/>
      <c r="AF28" s="832"/>
    </row>
    <row r="29" spans="1:32" ht="49.5" customHeight="1">
      <c r="A29" s="212" t="s">
        <v>190</v>
      </c>
      <c r="B29" s="220" t="s">
        <v>1695</v>
      </c>
      <c r="C29" s="212"/>
      <c r="D29" s="212" t="s">
        <v>399</v>
      </c>
      <c r="E29" s="221" t="s">
        <v>171</v>
      </c>
      <c r="F29" s="212">
        <v>2016</v>
      </c>
      <c r="G29" s="190" t="s">
        <v>135</v>
      </c>
      <c r="H29" s="212" t="s">
        <v>400</v>
      </c>
      <c r="I29" s="212" t="s">
        <v>401</v>
      </c>
      <c r="J29" s="212"/>
      <c r="K29" s="212" t="s">
        <v>402</v>
      </c>
      <c r="L29" s="212"/>
      <c r="M29" s="212" t="s">
        <v>403</v>
      </c>
      <c r="N29" s="212" t="s">
        <v>404</v>
      </c>
      <c r="O29" s="212"/>
      <c r="P29" s="212"/>
      <c r="Q29" s="240"/>
      <c r="R29" s="929" t="s">
        <v>1444</v>
      </c>
      <c r="S29" s="212"/>
      <c r="T29" s="212"/>
      <c r="U29" s="212"/>
      <c r="V29" s="212"/>
      <c r="W29" s="212"/>
      <c r="X29" s="1302"/>
      <c r="Y29" s="788"/>
      <c r="Z29" s="1304" t="s">
        <v>1213</v>
      </c>
      <c r="AA29" s="832"/>
      <c r="AB29" s="832"/>
      <c r="AC29" s="832"/>
      <c r="AD29" s="832"/>
      <c r="AE29" s="832"/>
      <c r="AF29" s="832"/>
    </row>
    <row r="30" spans="1:32" ht="117.75" customHeight="1">
      <c r="A30" s="184" t="s">
        <v>1440</v>
      </c>
      <c r="B30" s="223" t="s">
        <v>407</v>
      </c>
      <c r="C30" s="184"/>
      <c r="D30" s="184" t="s">
        <v>408</v>
      </c>
      <c r="E30" s="224" t="s">
        <v>148</v>
      </c>
      <c r="F30" s="184">
        <v>2011</v>
      </c>
      <c r="G30" s="190" t="s">
        <v>135</v>
      </c>
      <c r="H30" s="184" t="s">
        <v>409</v>
      </c>
      <c r="I30" s="184" t="s">
        <v>1696</v>
      </c>
      <c r="J30" s="184" t="s">
        <v>410</v>
      </c>
      <c r="K30" s="184" t="s">
        <v>411</v>
      </c>
      <c r="L30" s="225"/>
      <c r="M30" s="184" t="s">
        <v>412</v>
      </c>
      <c r="N30" s="184" t="s">
        <v>413</v>
      </c>
      <c r="O30" s="226"/>
      <c r="P30" s="227">
        <v>720000</v>
      </c>
      <c r="Q30" s="228">
        <f>0.001*365*P30*0.9</f>
        <v>236520</v>
      </c>
      <c r="R30" s="931" t="s">
        <v>1444</v>
      </c>
      <c r="S30" s="228">
        <f>Q30/0.112194</f>
        <v>2108134.1248195092</v>
      </c>
      <c r="T30" s="225"/>
      <c r="U30" s="225"/>
      <c r="V30" s="225" t="s">
        <v>414</v>
      </c>
      <c r="W30" s="1189">
        <v>20000</v>
      </c>
      <c r="X30" s="244"/>
      <c r="Y30" s="788"/>
      <c r="Z30" s="222" t="s">
        <v>406</v>
      </c>
      <c r="AA30" s="832"/>
      <c r="AB30" s="832"/>
      <c r="AC30" s="832"/>
      <c r="AD30" s="832"/>
      <c r="AE30" s="832"/>
      <c r="AF30" s="832"/>
    </row>
    <row r="31" spans="1:32">
      <c r="A31" s="245"/>
      <c r="B31" s="246" t="s">
        <v>441</v>
      </c>
      <c r="C31" s="245"/>
      <c r="D31" s="245"/>
      <c r="E31" s="247"/>
      <c r="F31" s="245"/>
      <c r="G31" s="245"/>
      <c r="H31" s="245"/>
      <c r="I31" s="245"/>
      <c r="J31" s="245"/>
      <c r="K31" s="245"/>
      <c r="L31" s="245"/>
      <c r="M31" s="245"/>
      <c r="N31" s="245"/>
      <c r="O31" s="245"/>
      <c r="P31" s="245"/>
      <c r="Q31" s="1004"/>
      <c r="R31" s="245"/>
      <c r="S31" s="245"/>
      <c r="T31" s="245"/>
      <c r="U31" s="245"/>
      <c r="V31" s="245"/>
      <c r="W31" s="245"/>
      <c r="X31" s="245"/>
      <c r="Y31" s="245"/>
      <c r="Z31" s="245"/>
      <c r="AA31" s="832"/>
      <c r="AB31" s="832"/>
      <c r="AC31" s="832"/>
      <c r="AD31" s="832"/>
      <c r="AE31" s="832"/>
      <c r="AF31" s="832"/>
    </row>
    <row r="32" spans="1:32">
      <c r="A32" s="694"/>
      <c r="B32" s="694"/>
      <c r="C32" s="694"/>
      <c r="D32" s="694"/>
      <c r="E32" s="974"/>
      <c r="F32" s="694"/>
      <c r="G32" s="694"/>
      <c r="H32" s="694"/>
      <c r="I32" s="694"/>
      <c r="J32" s="694"/>
      <c r="K32" s="694"/>
      <c r="L32" s="694"/>
      <c r="M32" s="694"/>
      <c r="N32" s="694"/>
      <c r="O32" s="694"/>
      <c r="P32" s="694"/>
      <c r="Q32" s="1005"/>
      <c r="R32" s="694"/>
      <c r="S32" s="694"/>
      <c r="T32" s="694"/>
      <c r="U32" s="694"/>
      <c r="V32" s="694"/>
      <c r="W32" s="694"/>
      <c r="X32" s="695"/>
      <c r="Y32" s="788"/>
      <c r="Z32" s="409"/>
      <c r="AA32" s="832"/>
      <c r="AB32" s="832"/>
      <c r="AC32" s="832"/>
      <c r="AD32" s="832"/>
      <c r="AE32" s="832"/>
      <c r="AF32" s="832"/>
    </row>
    <row r="33" spans="1:35">
      <c r="A33" s="696"/>
      <c r="B33" s="697"/>
      <c r="C33" s="696"/>
      <c r="D33" s="696"/>
      <c r="E33" s="698"/>
      <c r="F33" s="696"/>
      <c r="G33" s="696"/>
      <c r="H33" s="696"/>
      <c r="I33" s="696"/>
      <c r="J33" s="696"/>
      <c r="K33" s="696"/>
      <c r="L33" s="696"/>
      <c r="M33" s="696"/>
      <c r="N33" s="696"/>
      <c r="O33" s="696"/>
      <c r="P33" s="696"/>
      <c r="Q33" s="1006"/>
      <c r="R33" s="696"/>
      <c r="S33" s="696"/>
      <c r="T33" s="696"/>
      <c r="U33" s="696"/>
      <c r="V33" s="696"/>
      <c r="W33" s="696"/>
      <c r="X33" s="696"/>
      <c r="Y33" s="245"/>
      <c r="Z33" s="245"/>
      <c r="AA33" s="832"/>
      <c r="AB33" s="832"/>
      <c r="AC33" s="832"/>
      <c r="AD33" s="832"/>
      <c r="AE33" s="832"/>
      <c r="AF33" s="832"/>
    </row>
    <row r="34" spans="1:35">
      <c r="A34" s="699"/>
      <c r="B34" s="699"/>
      <c r="C34" s="699"/>
      <c r="D34" s="699"/>
      <c r="E34" s="975"/>
      <c r="F34" s="699"/>
      <c r="G34" s="699"/>
      <c r="H34" s="699"/>
      <c r="I34" s="699"/>
      <c r="J34" s="699"/>
      <c r="K34" s="699"/>
      <c r="L34" s="699"/>
      <c r="M34" s="699"/>
      <c r="N34" s="699"/>
      <c r="O34" s="699"/>
      <c r="P34" s="699"/>
      <c r="Q34" s="1007"/>
      <c r="R34" s="699"/>
      <c r="S34" s="699"/>
      <c r="T34" s="699"/>
      <c r="U34" s="699"/>
      <c r="V34" s="699"/>
      <c r="W34" s="699"/>
      <c r="X34" s="699"/>
      <c r="Y34" s="788"/>
      <c r="Z34" s="699"/>
      <c r="AA34" s="832"/>
      <c r="AB34" s="832"/>
      <c r="AC34" s="832"/>
      <c r="AD34" s="832"/>
      <c r="AE34" s="832"/>
      <c r="AF34" s="832"/>
    </row>
    <row r="35" spans="1:35">
      <c r="A35" s="248"/>
      <c r="B35" s="249"/>
      <c r="C35" s="250"/>
      <c r="D35" s="248"/>
      <c r="E35" s="252"/>
      <c r="F35" s="253"/>
      <c r="G35" s="253"/>
      <c r="H35" s="251"/>
      <c r="I35" s="254"/>
      <c r="J35" s="254"/>
      <c r="K35" s="251"/>
      <c r="L35" s="255"/>
      <c r="M35" s="253"/>
      <c r="N35" s="254"/>
      <c r="O35" s="256"/>
      <c r="P35" s="255"/>
      <c r="Q35" s="1008"/>
      <c r="R35" s="250"/>
      <c r="S35" s="256"/>
      <c r="T35" s="255"/>
      <c r="U35" s="255"/>
      <c r="V35" s="255"/>
      <c r="W35" s="255"/>
      <c r="X35" s="255"/>
      <c r="Y35" s="245"/>
      <c r="Z35" s="245"/>
      <c r="AA35" s="832"/>
      <c r="AB35" s="832"/>
      <c r="AC35" s="832"/>
      <c r="AD35" s="832"/>
      <c r="AE35" s="832"/>
      <c r="AF35" s="832"/>
    </row>
    <row r="36" spans="1:35">
      <c r="A36" s="694"/>
      <c r="B36" s="694"/>
      <c r="C36" s="694"/>
      <c r="D36" s="694"/>
      <c r="E36" s="974"/>
      <c r="F36" s="694"/>
      <c r="G36" s="694"/>
      <c r="H36" s="694"/>
      <c r="I36" s="694"/>
      <c r="J36" s="694"/>
      <c r="K36" s="694"/>
      <c r="L36" s="694"/>
      <c r="M36" s="694"/>
      <c r="N36" s="694"/>
      <c r="O36" s="694"/>
      <c r="P36" s="694"/>
      <c r="Q36" s="1005"/>
      <c r="R36" s="694"/>
      <c r="S36" s="694"/>
      <c r="T36" s="694"/>
      <c r="U36" s="694"/>
      <c r="V36" s="694"/>
      <c r="W36" s="694"/>
      <c r="X36" s="695"/>
      <c r="Y36" s="788"/>
      <c r="Z36" s="409"/>
      <c r="AA36" s="832"/>
      <c r="AB36" s="832"/>
      <c r="AC36" s="832"/>
      <c r="AD36" s="832"/>
      <c r="AE36" s="832"/>
      <c r="AF36" s="832"/>
    </row>
    <row r="37" spans="1:35" ht="15.75">
      <c r="A37" s="257"/>
      <c r="B37" s="258"/>
      <c r="C37" s="257"/>
      <c r="D37" s="257"/>
      <c r="E37" s="259"/>
      <c r="F37" s="257"/>
      <c r="G37" s="257"/>
      <c r="H37" s="257"/>
      <c r="I37" s="257"/>
      <c r="J37" s="257"/>
      <c r="K37" s="257"/>
      <c r="L37" s="257"/>
      <c r="M37" s="257"/>
      <c r="N37" s="257"/>
      <c r="O37" s="257"/>
      <c r="P37" s="257"/>
      <c r="Q37" s="1009"/>
      <c r="R37" s="257"/>
      <c r="S37" s="257"/>
      <c r="T37" s="257"/>
      <c r="U37" s="257"/>
      <c r="V37" s="257"/>
      <c r="W37" s="257"/>
      <c r="X37" s="257"/>
      <c r="Y37" s="245"/>
      <c r="Z37" s="245"/>
      <c r="AA37" s="832"/>
      <c r="AB37" s="832"/>
      <c r="AC37" s="832"/>
      <c r="AD37" s="832"/>
      <c r="AE37" s="832"/>
      <c r="AF37" s="832"/>
    </row>
    <row r="38" spans="1:35" ht="78.75" customHeight="1">
      <c r="A38" s="177" t="s">
        <v>194</v>
      </c>
      <c r="B38" s="178" t="s">
        <v>443</v>
      </c>
      <c r="C38" s="177"/>
      <c r="D38" s="177" t="s">
        <v>444</v>
      </c>
      <c r="E38" s="179" t="s">
        <v>445</v>
      </c>
      <c r="F38" s="177">
        <v>2014</v>
      </c>
      <c r="G38" s="177" t="s">
        <v>135</v>
      </c>
      <c r="H38" s="177" t="s">
        <v>446</v>
      </c>
      <c r="I38" s="177" t="s">
        <v>447</v>
      </c>
      <c r="J38" s="177"/>
      <c r="K38" s="180" t="s">
        <v>448</v>
      </c>
      <c r="L38" s="260"/>
      <c r="M38" s="177" t="s">
        <v>449</v>
      </c>
      <c r="N38" s="177" t="s">
        <v>450</v>
      </c>
      <c r="O38" s="177"/>
      <c r="P38" s="180"/>
      <c r="Q38" s="180"/>
      <c r="R38" s="928" t="s">
        <v>1444</v>
      </c>
      <c r="S38" s="180"/>
      <c r="T38" s="260"/>
      <c r="U38" s="260"/>
      <c r="V38" s="260"/>
      <c r="W38" s="260"/>
      <c r="X38" s="181"/>
      <c r="Y38" s="788"/>
      <c r="Z38" s="176" t="s">
        <v>442</v>
      </c>
      <c r="AA38" s="832"/>
      <c r="AB38" s="832"/>
      <c r="AC38" s="832"/>
      <c r="AD38" s="832"/>
      <c r="AE38" s="832"/>
      <c r="AF38" s="832"/>
    </row>
    <row r="39" spans="1:35" ht="60.75" customHeight="1">
      <c r="A39" s="189" t="s">
        <v>190</v>
      </c>
      <c r="B39" s="211" t="s">
        <v>459</v>
      </c>
      <c r="C39" s="189"/>
      <c r="D39" s="189" t="s">
        <v>460</v>
      </c>
      <c r="E39" s="213" t="s">
        <v>70</v>
      </c>
      <c r="F39" s="189">
        <v>2014</v>
      </c>
      <c r="G39" s="189" t="s">
        <v>135</v>
      </c>
      <c r="H39" s="189" t="s">
        <v>461</v>
      </c>
      <c r="I39" s="214" t="s">
        <v>462</v>
      </c>
      <c r="J39" s="214"/>
      <c r="K39" s="189" t="s">
        <v>463</v>
      </c>
      <c r="L39" s="215"/>
      <c r="M39" s="189" t="s">
        <v>464</v>
      </c>
      <c r="N39" s="189" t="s">
        <v>465</v>
      </c>
      <c r="O39" s="189"/>
      <c r="P39" s="216">
        <f>Q39/( 0.001 * 365*0.9)</f>
        <v>740480.4</v>
      </c>
      <c r="Q39" s="261">
        <f>S39*0.112194</f>
        <v>243247.81140000001</v>
      </c>
      <c r="R39" s="219" t="s">
        <v>1443</v>
      </c>
      <c r="S39" s="261">
        <f>6600*0.9*365</f>
        <v>2168100</v>
      </c>
      <c r="T39" s="215"/>
      <c r="U39" s="215"/>
      <c r="V39" s="215" t="s">
        <v>466</v>
      </c>
      <c r="W39" s="215"/>
      <c r="X39" s="218"/>
      <c r="Y39" s="788"/>
      <c r="Z39" s="210" t="s">
        <v>458</v>
      </c>
      <c r="AA39" s="832"/>
      <c r="AB39" s="832"/>
      <c r="AC39" s="832"/>
      <c r="AD39" s="832"/>
      <c r="AE39" s="832"/>
      <c r="AF39" s="832"/>
    </row>
    <row r="40" spans="1:35" ht="45.75" customHeight="1">
      <c r="A40" s="189" t="s">
        <v>190</v>
      </c>
      <c r="B40" s="211" t="s">
        <v>468</v>
      </c>
      <c r="C40" s="262"/>
      <c r="D40" s="189" t="s">
        <v>469</v>
      </c>
      <c r="E40" s="213" t="s">
        <v>121</v>
      </c>
      <c r="F40" s="262"/>
      <c r="G40" s="189" t="s">
        <v>135</v>
      </c>
      <c r="H40" s="262" t="s">
        <v>470</v>
      </c>
      <c r="I40" s="262" t="s">
        <v>471</v>
      </c>
      <c r="J40" s="262"/>
      <c r="K40" s="235" t="s">
        <v>472</v>
      </c>
      <c r="L40" s="236"/>
      <c r="M40" s="189" t="s">
        <v>473</v>
      </c>
      <c r="N40" s="189" t="s">
        <v>474</v>
      </c>
      <c r="O40" s="262"/>
      <c r="P40" s="261"/>
      <c r="Q40" s="261"/>
      <c r="R40" s="219" t="s">
        <v>1444</v>
      </c>
      <c r="S40" s="261"/>
      <c r="T40" s="236"/>
      <c r="U40" s="236"/>
      <c r="V40" s="236"/>
      <c r="W40" s="238"/>
      <c r="X40" s="218"/>
      <c r="Y40" s="788"/>
      <c r="Z40" s="210" t="s">
        <v>467</v>
      </c>
      <c r="AA40" s="832"/>
      <c r="AB40" s="832"/>
      <c r="AC40" s="832"/>
      <c r="AD40" s="832"/>
      <c r="AE40" s="832"/>
      <c r="AF40" s="832"/>
    </row>
    <row r="41" spans="1:35">
      <c r="A41" s="1"/>
      <c r="B41" s="164"/>
      <c r="C41" s="164"/>
      <c r="D41" s="1"/>
      <c r="E41" s="1"/>
      <c r="F41" s="1"/>
      <c r="G41" s="1"/>
      <c r="H41" s="1"/>
      <c r="I41" s="1"/>
      <c r="J41" s="1"/>
      <c r="K41" s="1"/>
      <c r="L41" s="164"/>
      <c r="M41" s="1"/>
      <c r="N41" s="1"/>
      <c r="O41" s="1"/>
      <c r="P41" s="1"/>
      <c r="Q41" s="1"/>
      <c r="R41" s="1"/>
      <c r="S41" s="1"/>
      <c r="T41" s="1"/>
      <c r="U41" s="1"/>
      <c r="V41" s="1"/>
      <c r="W41" s="1"/>
      <c r="X41" s="1"/>
      <c r="Y41" s="1"/>
      <c r="AA41" s="1"/>
      <c r="AB41" s="832"/>
      <c r="AC41" s="832"/>
      <c r="AD41" s="832"/>
      <c r="AE41" s="832"/>
      <c r="AF41" s="832"/>
      <c r="AG41" s="832"/>
    </row>
    <row r="42" spans="1:35">
      <c r="A42" s="1"/>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B42" s="164"/>
      <c r="AC42" s="832"/>
      <c r="AD42" s="832"/>
      <c r="AE42" s="832"/>
      <c r="AF42" s="832"/>
      <c r="AG42" s="832"/>
      <c r="AH42" s="832"/>
    </row>
    <row r="43" spans="1:35" ht="18.75" customHeight="1">
      <c r="A43" s="263"/>
      <c r="B43" s="264"/>
      <c r="C43" s="1632" t="s">
        <v>1663</v>
      </c>
      <c r="D43" s="1632"/>
      <c r="E43" s="1632"/>
      <c r="F43" s="1632"/>
      <c r="G43" s="1632"/>
      <c r="H43" s="1632"/>
      <c r="I43" s="264"/>
      <c r="J43" s="264"/>
      <c r="K43" s="264"/>
      <c r="L43" s="264"/>
      <c r="M43" s="264"/>
      <c r="N43" s="264"/>
      <c r="O43" s="264"/>
      <c r="P43" s="264"/>
      <c r="Q43" s="264"/>
      <c r="R43" s="264"/>
      <c r="S43" s="264"/>
      <c r="T43" s="264"/>
      <c r="U43" s="264"/>
      <c r="V43" s="264"/>
      <c r="W43" s="264"/>
      <c r="X43" s="264"/>
      <c r="Y43" s="264"/>
      <c r="Z43" s="264"/>
      <c r="AA43" s="264"/>
      <c r="AC43" s="264"/>
      <c r="AD43" s="832"/>
      <c r="AE43" s="832"/>
      <c r="AF43" s="832"/>
      <c r="AG43" s="832"/>
      <c r="AH43" s="832"/>
      <c r="AI43" s="832"/>
    </row>
    <row r="44" spans="1:35">
      <c r="A44" s="1"/>
      <c r="B44" s="164"/>
      <c r="C44" s="1641" t="s">
        <v>46</v>
      </c>
      <c r="D44" s="1641"/>
      <c r="E44" s="1655">
        <v>7</v>
      </c>
      <c r="F44" s="1656"/>
      <c r="G44" s="1656"/>
      <c r="H44" s="1657"/>
      <c r="I44" s="164"/>
      <c r="J44" s="164"/>
      <c r="K44" s="164"/>
      <c r="L44" s="164"/>
      <c r="M44" s="164"/>
      <c r="N44" s="164"/>
      <c r="O44" s="164"/>
      <c r="P44" s="164"/>
      <c r="Q44" s="164"/>
      <c r="R44" s="164"/>
      <c r="S44" s="164"/>
      <c r="T44" s="164"/>
      <c r="U44" s="164"/>
      <c r="V44" s="164"/>
      <c r="W44" s="164"/>
      <c r="X44" s="164"/>
      <c r="Y44" s="165"/>
      <c r="Z44" s="165"/>
      <c r="AA44" s="164"/>
      <c r="AB44" s="164"/>
      <c r="AC44" s="164"/>
      <c r="AD44" s="832"/>
      <c r="AE44" s="832"/>
      <c r="AF44" s="832"/>
      <c r="AG44" s="832"/>
      <c r="AH44" s="832"/>
      <c r="AI44" s="832"/>
    </row>
    <row r="45" spans="1:35">
      <c r="A45" s="1"/>
      <c r="B45" s="164"/>
      <c r="C45" s="1641" t="s">
        <v>277</v>
      </c>
      <c r="D45" s="1641"/>
      <c r="E45" s="1655">
        <v>2</v>
      </c>
      <c r="F45" s="1656"/>
      <c r="G45" s="1656"/>
      <c r="H45" s="1657"/>
      <c r="I45" s="164"/>
      <c r="J45" s="164"/>
      <c r="K45" s="164"/>
      <c r="L45" s="164"/>
      <c r="M45" s="164"/>
      <c r="N45" s="164"/>
      <c r="O45" s="164"/>
      <c r="P45" s="164"/>
      <c r="Q45" s="164"/>
      <c r="R45" s="164"/>
      <c r="S45" s="164"/>
      <c r="T45" s="164"/>
      <c r="U45" s="164"/>
      <c r="V45" s="164"/>
      <c r="W45" s="164"/>
      <c r="X45" s="164"/>
      <c r="Y45" s="165"/>
      <c r="Z45" s="165"/>
      <c r="AA45" s="164"/>
      <c r="AB45" s="164"/>
      <c r="AC45" s="164"/>
      <c r="AD45" s="832"/>
      <c r="AE45" s="832"/>
      <c r="AF45" s="832"/>
      <c r="AG45" s="832"/>
      <c r="AH45" s="832"/>
      <c r="AI45" s="832"/>
    </row>
    <row r="46" spans="1:35">
      <c r="A46" s="1"/>
      <c r="B46" s="164"/>
      <c r="C46" s="1641" t="s">
        <v>278</v>
      </c>
      <c r="D46" s="1641"/>
      <c r="E46" s="1655">
        <v>5</v>
      </c>
      <c r="F46" s="1656"/>
      <c r="G46" s="1656"/>
      <c r="H46" s="1657"/>
      <c r="I46" s="164"/>
      <c r="J46" s="164"/>
      <c r="K46" s="164"/>
      <c r="L46" s="164"/>
      <c r="M46" s="164"/>
      <c r="N46" s="164"/>
      <c r="O46" s="164"/>
      <c r="P46" s="164"/>
      <c r="Q46" s="164"/>
      <c r="R46" s="164"/>
      <c r="S46" s="164"/>
      <c r="T46" s="164"/>
      <c r="U46" s="164"/>
      <c r="V46" s="164"/>
      <c r="W46" s="164"/>
      <c r="X46" s="164"/>
      <c r="Y46" s="165"/>
      <c r="Z46" s="165"/>
      <c r="AA46" s="164"/>
      <c r="AB46" s="164"/>
      <c r="AC46" s="164"/>
      <c r="AD46" s="832"/>
      <c r="AE46" s="832"/>
      <c r="AF46" s="832"/>
      <c r="AG46" s="832"/>
      <c r="AH46" s="832"/>
      <c r="AI46" s="832"/>
    </row>
    <row r="47" spans="1:35">
      <c r="A47" s="1"/>
      <c r="B47" s="164"/>
      <c r="C47" s="1641" t="s">
        <v>279</v>
      </c>
      <c r="D47" s="1641"/>
      <c r="E47" s="1655">
        <v>4</v>
      </c>
      <c r="F47" s="1656"/>
      <c r="G47" s="1656"/>
      <c r="H47" s="1657"/>
      <c r="I47" s="164"/>
      <c r="J47" s="164"/>
      <c r="K47" s="164"/>
      <c r="L47" s="164"/>
      <c r="M47" s="164"/>
      <c r="N47" s="164"/>
      <c r="O47" s="164"/>
      <c r="P47" s="164"/>
      <c r="Q47" s="164"/>
      <c r="R47" s="164"/>
      <c r="S47" s="164"/>
      <c r="T47" s="164"/>
      <c r="U47" s="164"/>
      <c r="V47" s="164"/>
      <c r="W47" s="164"/>
      <c r="X47" s="164"/>
      <c r="Y47" s="165"/>
      <c r="Z47" s="165"/>
      <c r="AA47" s="164"/>
      <c r="AB47" s="164"/>
      <c r="AC47" s="164"/>
      <c r="AD47" s="832"/>
      <c r="AE47" s="832"/>
      <c r="AF47" s="832"/>
      <c r="AG47" s="832"/>
      <c r="AH47" s="832"/>
      <c r="AI47" s="832"/>
    </row>
    <row r="48" spans="1:35" s="832" customFormat="1">
      <c r="A48" s="833"/>
      <c r="B48" s="164"/>
      <c r="C48" s="1641" t="s">
        <v>1399</v>
      </c>
      <c r="D48" s="1641"/>
      <c r="E48" s="1655">
        <v>1</v>
      </c>
      <c r="F48" s="1656"/>
      <c r="G48" s="1656"/>
      <c r="H48" s="1657"/>
      <c r="I48" s="164"/>
      <c r="J48" s="164"/>
      <c r="K48" s="164"/>
      <c r="L48" s="164"/>
      <c r="M48" s="164"/>
      <c r="N48" s="164"/>
      <c r="O48" s="164"/>
      <c r="P48" s="164"/>
      <c r="Q48" s="164"/>
      <c r="R48" s="164"/>
      <c r="S48" s="164"/>
      <c r="T48" s="164"/>
      <c r="U48" s="164"/>
      <c r="V48" s="164"/>
      <c r="W48" s="164"/>
      <c r="X48" s="164"/>
      <c r="Y48" s="165"/>
      <c r="Z48" s="165"/>
      <c r="AA48" s="164"/>
      <c r="AB48" s="165"/>
      <c r="AC48" s="164"/>
    </row>
    <row r="49" spans="1:35">
      <c r="A49" s="1"/>
      <c r="B49" s="164"/>
      <c r="C49" s="1641" t="s">
        <v>280</v>
      </c>
      <c r="D49" s="1641"/>
      <c r="E49" s="1655">
        <v>1</v>
      </c>
      <c r="F49" s="1656"/>
      <c r="G49" s="1656"/>
      <c r="H49" s="1657"/>
      <c r="I49" s="164"/>
      <c r="J49" s="164"/>
      <c r="K49" s="164"/>
      <c r="L49" s="164"/>
      <c r="M49" s="164"/>
      <c r="N49" s="164"/>
      <c r="O49" s="164"/>
      <c r="P49" s="164"/>
      <c r="Q49" s="164"/>
      <c r="R49" s="164"/>
      <c r="S49" s="164"/>
      <c r="T49" s="164"/>
      <c r="U49" s="164"/>
      <c r="V49" s="164"/>
      <c r="W49" s="164"/>
      <c r="X49" s="164"/>
      <c r="Y49" s="165"/>
      <c r="Z49" s="165"/>
      <c r="AA49" s="164"/>
      <c r="AB49" s="165"/>
      <c r="AC49" s="164"/>
      <c r="AD49" s="832"/>
      <c r="AE49" s="832"/>
      <c r="AF49" s="832"/>
      <c r="AG49" s="832"/>
      <c r="AH49" s="832"/>
      <c r="AI49" s="832"/>
    </row>
    <row r="50" spans="1:35" s="832" customFormat="1">
      <c r="A50" s="833"/>
      <c r="B50" s="164"/>
      <c r="C50" s="1641" t="s">
        <v>1400</v>
      </c>
      <c r="D50" s="1641"/>
      <c r="E50" s="1655">
        <v>4</v>
      </c>
      <c r="F50" s="1656"/>
      <c r="G50" s="1656"/>
      <c r="H50" s="1657"/>
      <c r="I50" s="164"/>
      <c r="J50" s="164"/>
      <c r="K50" s="164"/>
      <c r="L50" s="164"/>
      <c r="M50" s="164"/>
      <c r="N50" s="164"/>
      <c r="O50" s="164"/>
      <c r="P50" s="164"/>
      <c r="Q50" s="164"/>
      <c r="R50" s="164"/>
      <c r="S50" s="164"/>
      <c r="T50" s="164"/>
      <c r="U50" s="164"/>
      <c r="V50" s="164"/>
      <c r="W50" s="164"/>
      <c r="X50" s="164"/>
      <c r="Y50" s="165"/>
      <c r="Z50" s="165"/>
      <c r="AA50" s="164"/>
      <c r="AB50" s="165"/>
      <c r="AC50" s="164"/>
    </row>
    <row r="51" spans="1:35">
      <c r="A51" s="1"/>
      <c r="B51" s="164"/>
      <c r="C51" s="1641" t="s">
        <v>475</v>
      </c>
      <c r="D51" s="1641"/>
      <c r="E51" s="1655">
        <v>20</v>
      </c>
      <c r="F51" s="1656"/>
      <c r="G51" s="1656"/>
      <c r="H51" s="1657"/>
      <c r="I51" s="164"/>
      <c r="J51" s="164"/>
      <c r="K51" s="164"/>
      <c r="L51" s="164"/>
      <c r="M51" s="164"/>
      <c r="N51" s="164"/>
      <c r="O51" s="164"/>
      <c r="P51" s="164"/>
      <c r="Q51" s="164"/>
      <c r="R51" s="164"/>
      <c r="S51" s="164"/>
      <c r="T51" s="164"/>
      <c r="U51" s="164"/>
      <c r="V51" s="164"/>
      <c r="W51" s="164"/>
      <c r="X51" s="164"/>
      <c r="Y51" s="165"/>
      <c r="Z51" s="165"/>
      <c r="AA51" s="164"/>
      <c r="AB51" s="165"/>
      <c r="AC51" s="164"/>
      <c r="AD51" s="832"/>
      <c r="AE51" s="832"/>
      <c r="AF51" s="832"/>
      <c r="AG51" s="832"/>
      <c r="AH51" s="832"/>
      <c r="AI51" s="832"/>
    </row>
    <row r="52" spans="1:35" ht="17.25" customHeight="1">
      <c r="A52" s="1"/>
      <c r="B52" s="164"/>
      <c r="C52" s="1654" t="s">
        <v>1530</v>
      </c>
      <c r="D52" s="1654"/>
      <c r="E52" s="1425">
        <v>5</v>
      </c>
      <c r="F52" s="1658"/>
      <c r="G52" s="1659"/>
      <c r="H52" s="1660"/>
      <c r="I52" s="164"/>
      <c r="J52" s="164"/>
      <c r="K52" s="164"/>
      <c r="L52" s="164"/>
      <c r="M52" s="164"/>
      <c r="N52" s="164"/>
      <c r="O52" s="164"/>
      <c r="P52" s="164"/>
      <c r="Q52" s="164"/>
      <c r="R52" s="164"/>
      <c r="S52" s="164"/>
      <c r="T52" s="164"/>
      <c r="U52" s="164"/>
      <c r="V52" s="164"/>
      <c r="W52" s="164"/>
      <c r="X52" s="164"/>
      <c r="Y52" s="165"/>
      <c r="Z52" s="165"/>
      <c r="AA52" s="164"/>
      <c r="AB52" s="165"/>
      <c r="AC52" s="164"/>
      <c r="AD52" s="832"/>
      <c r="AE52" s="832"/>
      <c r="AF52" s="832"/>
      <c r="AG52" s="832"/>
      <c r="AH52" s="832"/>
      <c r="AI52" s="832"/>
    </row>
    <row r="53" spans="1:35">
      <c r="A53" s="1"/>
      <c r="B53" s="164"/>
      <c r="C53" s="164"/>
      <c r="D53" s="172"/>
      <c r="E53" s="558"/>
      <c r="F53" s="172"/>
      <c r="G53" s="172"/>
      <c r="H53" s="164"/>
      <c r="I53" s="164"/>
      <c r="J53" s="164"/>
      <c r="K53" s="164"/>
      <c r="L53" s="164"/>
      <c r="M53" s="164"/>
      <c r="N53" s="164"/>
      <c r="O53" s="164"/>
      <c r="P53" s="164"/>
      <c r="Q53" s="164"/>
      <c r="R53" s="164"/>
      <c r="S53" s="164"/>
      <c r="T53" s="164"/>
      <c r="U53" s="164"/>
      <c r="V53" s="164"/>
      <c r="W53" s="164"/>
      <c r="X53" s="164"/>
      <c r="Y53" s="165"/>
      <c r="Z53" s="165"/>
      <c r="AA53" s="164"/>
      <c r="AB53" s="165"/>
      <c r="AC53" s="164"/>
      <c r="AD53" s="832"/>
      <c r="AE53" s="832"/>
      <c r="AF53" s="832"/>
      <c r="AG53" s="832"/>
      <c r="AH53" s="832"/>
      <c r="AI53" s="832"/>
    </row>
    <row r="54" spans="1:35" ht="21" customHeight="1">
      <c r="A54" s="1"/>
      <c r="B54" s="164"/>
      <c r="C54" s="1636" t="s">
        <v>1554</v>
      </c>
      <c r="D54" s="1636"/>
      <c r="E54" s="1636"/>
      <c r="F54" s="1636"/>
      <c r="G54" s="1636"/>
      <c r="H54" s="1636"/>
      <c r="I54" s="164"/>
      <c r="J54" s="164"/>
      <c r="K54" s="164"/>
      <c r="L54" s="164"/>
      <c r="M54" s="164"/>
      <c r="N54" s="164"/>
      <c r="O54" s="164"/>
      <c r="P54" s="164"/>
      <c r="Q54" s="164"/>
      <c r="R54" s="164"/>
      <c r="S54" s="164"/>
      <c r="T54" s="164"/>
      <c r="U54" s="164"/>
      <c r="V54" s="164"/>
      <c r="W54" s="164"/>
      <c r="X54" s="164"/>
      <c r="Y54" s="165"/>
      <c r="Z54" s="165"/>
      <c r="AA54" s="164"/>
      <c r="AB54" s="165"/>
      <c r="AC54" s="164"/>
      <c r="AD54" s="832"/>
      <c r="AE54" s="832"/>
      <c r="AF54" s="832"/>
      <c r="AG54" s="832"/>
      <c r="AH54" s="832"/>
      <c r="AI54" s="832"/>
    </row>
    <row r="55" spans="1:35">
      <c r="A55" s="1"/>
      <c r="B55" s="164"/>
      <c r="C55" s="1633"/>
      <c r="D55" s="1634"/>
      <c r="E55" s="1634"/>
      <c r="F55" s="1634"/>
      <c r="G55" s="1634"/>
      <c r="H55" s="1635"/>
      <c r="I55" s="164"/>
      <c r="J55" s="164"/>
      <c r="K55" s="164"/>
      <c r="L55" s="164"/>
      <c r="M55" s="164"/>
      <c r="N55" s="164"/>
      <c r="O55" s="164"/>
      <c r="P55" s="164"/>
      <c r="Q55" s="164"/>
      <c r="R55" s="164"/>
      <c r="S55" s="164"/>
      <c r="T55" s="164"/>
      <c r="U55" s="164"/>
      <c r="V55" s="164"/>
      <c r="W55" s="164"/>
      <c r="X55" s="164"/>
      <c r="Y55" s="165"/>
      <c r="Z55" s="165"/>
      <c r="AA55" s="164"/>
      <c r="AB55" s="165"/>
      <c r="AC55" s="164"/>
      <c r="AD55" s="832"/>
      <c r="AE55" s="832"/>
      <c r="AF55" s="832"/>
      <c r="AG55" s="832"/>
      <c r="AH55" s="832"/>
      <c r="AI55" s="832"/>
    </row>
    <row r="56" spans="1:35" ht="33" customHeight="1">
      <c r="A56" s="1"/>
      <c r="B56" s="164"/>
      <c r="C56" s="1650" t="s">
        <v>1526</v>
      </c>
      <c r="D56" s="1650"/>
      <c r="E56" s="1603" t="s">
        <v>1666</v>
      </c>
      <c r="F56" s="1550" t="s">
        <v>1541</v>
      </c>
      <c r="G56" s="1552" t="s">
        <v>1662</v>
      </c>
      <c r="H56" s="1552" t="s">
        <v>1538</v>
      </c>
      <c r="I56" s="164"/>
      <c r="J56" s="164"/>
      <c r="K56" s="164"/>
      <c r="L56" s="164"/>
      <c r="M56" s="164"/>
      <c r="N56" s="164"/>
      <c r="O56" s="164"/>
      <c r="P56" s="164"/>
      <c r="Q56" s="164"/>
      <c r="R56" s="164"/>
      <c r="S56" s="164"/>
      <c r="T56" s="164"/>
      <c r="U56" s="164"/>
      <c r="V56" s="164"/>
      <c r="W56" s="164"/>
      <c r="X56" s="164"/>
      <c r="Y56" s="165"/>
      <c r="Z56" s="165"/>
      <c r="AA56" s="164"/>
      <c r="AB56" s="165"/>
      <c r="AC56" s="164"/>
      <c r="AD56" s="832"/>
      <c r="AE56" s="832"/>
      <c r="AF56" s="832"/>
      <c r="AG56" s="832"/>
      <c r="AH56" s="832"/>
      <c r="AI56" s="832"/>
    </row>
    <row r="57" spans="1:35">
      <c r="A57" s="1"/>
      <c r="B57" s="164"/>
      <c r="C57" s="1641" t="s">
        <v>37</v>
      </c>
      <c r="D57" s="1641"/>
      <c r="E57" s="1425">
        <v>2</v>
      </c>
      <c r="F57" s="268" t="s">
        <v>1527</v>
      </c>
      <c r="G57" s="1426">
        <v>1332249</v>
      </c>
      <c r="H57" s="1426">
        <v>1332249</v>
      </c>
      <c r="I57" s="164"/>
      <c r="J57" s="164"/>
      <c r="K57" s="164"/>
      <c r="L57" s="164"/>
      <c r="M57" s="164"/>
      <c r="N57" s="164"/>
      <c r="O57" s="164"/>
      <c r="P57" s="164"/>
      <c r="Q57" s="164"/>
      <c r="R57" s="164"/>
      <c r="S57" s="164"/>
      <c r="T57" s="164"/>
      <c r="U57" s="164"/>
      <c r="V57" s="164"/>
      <c r="W57" s="164"/>
      <c r="X57" s="164"/>
      <c r="Y57" s="165"/>
      <c r="Z57" s="165"/>
      <c r="AA57" s="164"/>
      <c r="AB57" s="165"/>
      <c r="AC57" s="164"/>
      <c r="AD57" s="832"/>
      <c r="AE57" s="832"/>
      <c r="AF57" s="832"/>
      <c r="AG57" s="832"/>
      <c r="AH57" s="832"/>
      <c r="AI57" s="832"/>
    </row>
    <row r="58" spans="1:35">
      <c r="A58" s="1"/>
      <c r="B58" s="164"/>
      <c r="C58" s="1641" t="s">
        <v>284</v>
      </c>
      <c r="D58" s="1641"/>
      <c r="E58" s="1425">
        <v>2</v>
      </c>
      <c r="F58" s="268" t="s">
        <v>1527</v>
      </c>
      <c r="G58" s="1426">
        <v>14447.43</v>
      </c>
      <c r="H58" s="1426">
        <v>14447.43</v>
      </c>
      <c r="I58" s="164"/>
      <c r="J58" s="164"/>
      <c r="K58" s="164"/>
      <c r="L58" s="164"/>
      <c r="M58" s="164"/>
      <c r="N58" s="164"/>
      <c r="O58" s="164"/>
      <c r="P58" s="164"/>
      <c r="Q58" s="164"/>
      <c r="R58" s="164"/>
      <c r="S58" s="164"/>
      <c r="T58" s="164"/>
      <c r="U58" s="164"/>
      <c r="V58" s="164"/>
      <c r="W58" s="164"/>
      <c r="X58" s="164"/>
      <c r="Y58" s="165"/>
      <c r="Z58" s="165"/>
      <c r="AA58" s="164"/>
      <c r="AB58" s="165"/>
      <c r="AC58" s="164"/>
      <c r="AD58" s="832"/>
      <c r="AE58" s="832"/>
      <c r="AF58" s="832"/>
      <c r="AG58" s="832"/>
      <c r="AH58" s="832"/>
      <c r="AI58" s="832"/>
    </row>
    <row r="59" spans="1:35">
      <c r="A59" s="1"/>
      <c r="B59" s="164"/>
      <c r="C59" s="1641" t="s">
        <v>285</v>
      </c>
      <c r="D59" s="1641"/>
      <c r="E59" s="1425">
        <v>3</v>
      </c>
      <c r="F59" s="268" t="s">
        <v>1527</v>
      </c>
      <c r="G59" s="1426">
        <v>598073.87439999997</v>
      </c>
      <c r="H59" s="1426">
        <v>598073.87439999997</v>
      </c>
      <c r="I59" s="164"/>
      <c r="J59" s="164"/>
      <c r="K59" s="164"/>
      <c r="L59" s="164"/>
      <c r="M59" s="164"/>
      <c r="N59" s="164"/>
      <c r="O59" s="164"/>
      <c r="P59" s="164"/>
      <c r="Q59" s="164"/>
      <c r="R59" s="164"/>
      <c r="S59" s="164"/>
      <c r="T59" s="164"/>
      <c r="U59" s="164"/>
      <c r="V59" s="164"/>
      <c r="W59" s="164"/>
      <c r="X59" s="164"/>
      <c r="Y59" s="165"/>
      <c r="Z59" s="165"/>
      <c r="AA59" s="164"/>
      <c r="AB59" s="165"/>
      <c r="AC59" s="164"/>
      <c r="AD59" s="832"/>
      <c r="AE59" s="832"/>
      <c r="AF59" s="832"/>
      <c r="AG59" s="832"/>
      <c r="AH59" s="832"/>
      <c r="AI59" s="832"/>
    </row>
    <row r="60" spans="1:35">
      <c r="A60" s="1"/>
      <c r="B60" s="164"/>
      <c r="C60" s="1641" t="s">
        <v>133</v>
      </c>
      <c r="D60" s="1641"/>
      <c r="E60" s="1425">
        <v>0</v>
      </c>
      <c r="F60" s="268" t="s">
        <v>1527</v>
      </c>
      <c r="G60" s="1426">
        <v>0</v>
      </c>
      <c r="H60" s="1426">
        <v>0</v>
      </c>
      <c r="I60" s="164"/>
      <c r="J60" s="164"/>
      <c r="K60" s="164"/>
      <c r="L60" s="164"/>
      <c r="M60" s="164"/>
      <c r="N60" s="164"/>
      <c r="O60" s="164"/>
      <c r="P60" s="164"/>
      <c r="Q60" s="164"/>
      <c r="R60" s="164"/>
      <c r="S60" s="164"/>
      <c r="T60" s="164"/>
      <c r="U60" s="164"/>
      <c r="V60" s="164"/>
      <c r="W60" s="164"/>
      <c r="X60" s="164"/>
      <c r="Y60" s="165"/>
      <c r="Z60" s="165"/>
      <c r="AA60" s="164"/>
      <c r="AB60" s="165"/>
      <c r="AC60" s="164"/>
      <c r="AD60" s="832"/>
      <c r="AE60" s="832"/>
      <c r="AF60" s="832"/>
      <c r="AG60" s="832"/>
      <c r="AH60" s="832"/>
      <c r="AI60" s="832"/>
    </row>
    <row r="61" spans="1:35">
      <c r="A61" s="1"/>
      <c r="B61" s="164"/>
      <c r="C61" s="1641" t="s">
        <v>163</v>
      </c>
      <c r="D61" s="1641"/>
      <c r="E61" s="1425">
        <v>0</v>
      </c>
      <c r="F61" s="268" t="s">
        <v>1527</v>
      </c>
      <c r="G61" s="1426">
        <v>0</v>
      </c>
      <c r="H61" s="1426">
        <v>0</v>
      </c>
      <c r="I61" s="164"/>
      <c r="J61" s="164"/>
      <c r="K61" s="164"/>
      <c r="L61" s="164"/>
      <c r="M61" s="164"/>
      <c r="N61" s="164"/>
      <c r="O61" s="164"/>
      <c r="P61" s="164"/>
      <c r="Q61" s="164"/>
      <c r="R61" s="164"/>
      <c r="S61" s="164"/>
      <c r="T61" s="164"/>
      <c r="U61" s="164"/>
      <c r="V61" s="164"/>
      <c r="W61" s="164"/>
      <c r="X61" s="164"/>
      <c r="Y61" s="165"/>
      <c r="Z61" s="165"/>
      <c r="AA61" s="164"/>
      <c r="AB61" s="165"/>
      <c r="AC61" s="164"/>
      <c r="AD61" s="832"/>
      <c r="AE61" s="832"/>
      <c r="AF61" s="832"/>
      <c r="AG61" s="832"/>
      <c r="AH61" s="832"/>
      <c r="AI61" s="832"/>
    </row>
    <row r="62" spans="1:35">
      <c r="A62" s="1"/>
      <c r="B62" s="164"/>
      <c r="C62" s="1641" t="s">
        <v>1518</v>
      </c>
      <c r="D62" s="1641"/>
      <c r="E62" s="1425">
        <v>7</v>
      </c>
      <c r="F62" s="268" t="s">
        <v>1528</v>
      </c>
      <c r="G62" s="1426">
        <v>1944770.3043999998</v>
      </c>
      <c r="H62" s="1426">
        <v>1944770.3043999998</v>
      </c>
      <c r="I62" s="164"/>
      <c r="J62" s="164"/>
      <c r="K62" s="164"/>
      <c r="L62" s="164"/>
      <c r="M62" s="164"/>
      <c r="N62" s="164"/>
      <c r="O62" s="164"/>
      <c r="P62" s="164"/>
      <c r="Q62" s="164"/>
      <c r="R62" s="164"/>
      <c r="S62" s="164"/>
      <c r="T62" s="164"/>
      <c r="U62" s="164"/>
      <c r="V62" s="164"/>
      <c r="W62" s="164"/>
      <c r="X62" s="164"/>
      <c r="Y62" s="165"/>
      <c r="Z62" s="165"/>
      <c r="AA62" s="164"/>
      <c r="AB62" s="165"/>
      <c r="AC62" s="164"/>
      <c r="AD62" s="832"/>
      <c r="AE62" s="832"/>
      <c r="AF62" s="832"/>
      <c r="AG62" s="832"/>
      <c r="AH62" s="832"/>
      <c r="AI62" s="832"/>
    </row>
    <row r="63" spans="1:35">
      <c r="A63" s="1"/>
      <c r="B63" s="164"/>
      <c r="C63" s="1633"/>
      <c r="D63" s="1634"/>
      <c r="E63" s="1634"/>
      <c r="F63" s="1634"/>
      <c r="G63" s="1634"/>
      <c r="H63" s="1635"/>
      <c r="I63" s="164"/>
      <c r="J63" s="164"/>
      <c r="K63" s="164"/>
      <c r="L63" s="164"/>
      <c r="M63" s="164"/>
      <c r="N63" s="164"/>
      <c r="O63" s="164"/>
      <c r="P63" s="164"/>
      <c r="Q63" s="164"/>
      <c r="R63" s="164"/>
      <c r="S63" s="164"/>
      <c r="T63" s="164"/>
      <c r="U63" s="164"/>
      <c r="V63" s="164"/>
      <c r="W63" s="164"/>
      <c r="X63" s="164"/>
      <c r="Y63" s="165"/>
      <c r="Z63" s="165"/>
      <c r="AA63" s="164"/>
      <c r="AB63" s="165"/>
      <c r="AC63" s="164"/>
      <c r="AD63" s="832"/>
      <c r="AE63" s="832"/>
      <c r="AF63" s="832"/>
      <c r="AG63" s="832"/>
      <c r="AH63" s="832"/>
      <c r="AI63" s="832"/>
    </row>
    <row r="64" spans="1:35" ht="30.75" customHeight="1">
      <c r="A64" s="1"/>
      <c r="B64" s="164"/>
      <c r="C64" s="1651" t="s">
        <v>1566</v>
      </c>
      <c r="D64" s="1652"/>
      <c r="E64" s="1652"/>
      <c r="F64" s="1653"/>
      <c r="G64" s="1427">
        <v>1095000</v>
      </c>
      <c r="H64" s="1419"/>
      <c r="I64" s="164"/>
      <c r="J64" s="164"/>
      <c r="K64" s="164"/>
      <c r="L64" s="164"/>
      <c r="M64" s="164"/>
      <c r="N64" s="164"/>
      <c r="O64" s="164"/>
      <c r="P64" s="164"/>
      <c r="Q64" s="164"/>
      <c r="R64" s="164"/>
      <c r="S64" s="164"/>
      <c r="T64" s="164"/>
      <c r="U64" s="164"/>
      <c r="V64" s="164"/>
      <c r="W64" s="164"/>
      <c r="X64" s="164"/>
      <c r="Y64" s="165"/>
      <c r="Z64" s="165"/>
      <c r="AA64" s="164"/>
      <c r="AB64" s="165"/>
      <c r="AC64" s="164"/>
      <c r="AD64" s="832"/>
      <c r="AE64" s="832"/>
      <c r="AF64" s="832"/>
      <c r="AG64" s="832"/>
      <c r="AH64" s="832"/>
      <c r="AI64" s="832"/>
    </row>
    <row r="65" spans="1:35" s="832" customFormat="1">
      <c r="A65" s="833"/>
      <c r="B65" s="164"/>
      <c r="C65" s="164"/>
      <c r="D65" s="269"/>
      <c r="E65" s="270"/>
      <c r="F65" s="979"/>
      <c r="G65" s="977"/>
      <c r="H65" s="164"/>
      <c r="I65" s="164"/>
      <c r="J65" s="164"/>
      <c r="K65" s="164"/>
      <c r="L65" s="164"/>
      <c r="M65" s="164"/>
      <c r="N65" s="164"/>
      <c r="O65" s="164"/>
      <c r="P65" s="164"/>
      <c r="Q65" s="164"/>
      <c r="R65" s="164"/>
      <c r="S65" s="164"/>
      <c r="T65" s="164"/>
      <c r="U65" s="164"/>
      <c r="V65" s="164"/>
      <c r="W65" s="164"/>
      <c r="X65" s="164"/>
      <c r="Y65" s="165"/>
      <c r="Z65" s="165"/>
      <c r="AA65" s="164"/>
      <c r="AB65" s="165"/>
      <c r="AC65" s="164"/>
    </row>
    <row r="66" spans="1:35" s="832" customFormat="1">
      <c r="A66" s="833"/>
      <c r="B66" s="164"/>
      <c r="C66" s="1641" t="s">
        <v>1667</v>
      </c>
      <c r="D66" s="1641"/>
      <c r="E66" s="1425">
        <v>1</v>
      </c>
      <c r="F66" s="169" t="s">
        <v>1250</v>
      </c>
      <c r="G66" s="977"/>
      <c r="H66" s="164"/>
      <c r="I66" s="164"/>
      <c r="J66" s="164"/>
      <c r="K66" s="164"/>
      <c r="L66" s="164"/>
      <c r="M66" s="164"/>
      <c r="N66" s="164"/>
      <c r="O66" s="164"/>
      <c r="P66" s="164"/>
      <c r="Q66" s="164"/>
      <c r="R66" s="164"/>
      <c r="S66" s="164"/>
      <c r="T66" s="164"/>
      <c r="U66" s="164"/>
      <c r="V66" s="164"/>
      <c r="W66" s="164"/>
      <c r="X66" s="164"/>
      <c r="Y66" s="165"/>
      <c r="Z66" s="165"/>
      <c r="AA66" s="164"/>
      <c r="AB66" s="165"/>
      <c r="AC66" s="164"/>
    </row>
    <row r="67" spans="1:35" s="832" customFormat="1">
      <c r="A67" s="833"/>
      <c r="B67" s="164"/>
      <c r="C67" s="1641" t="s">
        <v>1668</v>
      </c>
      <c r="D67" s="1641"/>
      <c r="E67" s="1425">
        <v>6</v>
      </c>
      <c r="F67" s="169" t="s">
        <v>1251</v>
      </c>
      <c r="G67" s="977"/>
      <c r="H67" s="164"/>
      <c r="I67" s="164"/>
      <c r="J67" s="164"/>
      <c r="K67" s="164"/>
      <c r="L67" s="164"/>
      <c r="M67" s="164"/>
      <c r="N67" s="164"/>
      <c r="O67" s="164"/>
      <c r="P67" s="164"/>
      <c r="Q67" s="164"/>
      <c r="R67" s="164"/>
      <c r="S67" s="164"/>
      <c r="T67" s="164"/>
      <c r="U67" s="164"/>
      <c r="V67" s="164"/>
      <c r="W67" s="164"/>
      <c r="X67" s="164"/>
      <c r="Y67" s="165"/>
      <c r="Z67" s="165"/>
      <c r="AA67" s="164"/>
      <c r="AB67" s="165"/>
      <c r="AC67" s="164"/>
    </row>
    <row r="68" spans="1:35" s="832" customFormat="1">
      <c r="A68" s="833"/>
      <c r="B68" s="164"/>
      <c r="C68" s="164"/>
      <c r="D68" s="978"/>
      <c r="E68" s="558"/>
      <c r="F68" s="169"/>
      <c r="G68" s="977"/>
      <c r="H68" s="164"/>
      <c r="I68" s="164"/>
      <c r="J68" s="164"/>
      <c r="K68" s="164"/>
      <c r="L68" s="164"/>
      <c r="M68" s="164"/>
      <c r="N68" s="164"/>
      <c r="O68" s="164"/>
      <c r="P68" s="164"/>
      <c r="Q68" s="164"/>
      <c r="R68" s="164"/>
      <c r="S68" s="164"/>
      <c r="T68" s="164"/>
      <c r="U68" s="164"/>
      <c r="V68" s="164"/>
      <c r="W68" s="164"/>
      <c r="X68" s="164"/>
      <c r="Y68" s="165"/>
      <c r="Z68" s="165"/>
      <c r="AA68" s="164"/>
      <c r="AB68" s="165"/>
      <c r="AC68" s="164"/>
    </row>
    <row r="69" spans="1:35">
      <c r="A69" s="1"/>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5"/>
      <c r="Z69" s="165"/>
      <c r="AA69" s="164"/>
      <c r="AB69" s="165"/>
      <c r="AC69" s="164"/>
      <c r="AD69" s="832"/>
      <c r="AE69" s="832"/>
      <c r="AF69" s="832"/>
      <c r="AG69" s="832"/>
      <c r="AH69" s="832"/>
      <c r="AI69" s="832"/>
    </row>
    <row r="70" spans="1:35" ht="16.5" customHeight="1">
      <c r="A70" s="1"/>
      <c r="B70" s="164"/>
      <c r="C70" s="1631" t="s">
        <v>1557</v>
      </c>
      <c r="D70" s="1631"/>
      <c r="E70" s="1631"/>
      <c r="F70" s="1631"/>
      <c r="G70" s="1631"/>
      <c r="H70" s="1420"/>
      <c r="I70" s="164"/>
      <c r="J70" s="164"/>
      <c r="K70" s="164"/>
      <c r="L70" s="164"/>
      <c r="M70" s="164"/>
      <c r="N70" s="164"/>
      <c r="O70" s="164"/>
      <c r="P70" s="164"/>
      <c r="Q70" s="164"/>
      <c r="R70" s="164"/>
      <c r="S70" s="164"/>
      <c r="T70" s="164"/>
      <c r="U70" s="164"/>
      <c r="V70" s="164"/>
      <c r="W70" s="164"/>
      <c r="X70" s="164"/>
      <c r="Y70" s="165"/>
      <c r="Z70" s="165"/>
      <c r="AA70" s="164"/>
      <c r="AB70" s="165"/>
      <c r="AC70" s="164"/>
      <c r="AD70" s="832"/>
      <c r="AE70" s="832"/>
      <c r="AF70" s="832"/>
      <c r="AG70" s="832"/>
      <c r="AH70" s="832"/>
      <c r="AI70" s="832"/>
    </row>
    <row r="71" spans="1:35">
      <c r="A71" s="1"/>
      <c r="B71" s="164"/>
      <c r="C71" s="1630" t="s">
        <v>46</v>
      </c>
      <c r="D71" s="1630"/>
      <c r="E71" s="1425">
        <v>0</v>
      </c>
      <c r="F71" s="1421"/>
      <c r="G71" s="1421"/>
      <c r="H71" s="164"/>
      <c r="I71" s="164"/>
      <c r="J71" s="164"/>
      <c r="K71" s="164"/>
      <c r="L71" s="164"/>
      <c r="M71" s="164"/>
      <c r="N71" s="164"/>
      <c r="O71" s="164"/>
      <c r="P71" s="164"/>
      <c r="Q71" s="164"/>
      <c r="R71" s="164"/>
      <c r="S71" s="164"/>
      <c r="T71" s="164"/>
      <c r="U71" s="164"/>
      <c r="V71" s="164"/>
      <c r="W71" s="164"/>
      <c r="X71" s="164"/>
      <c r="Y71" s="165"/>
      <c r="Z71" s="165"/>
      <c r="AA71" s="164"/>
      <c r="AB71" s="165"/>
      <c r="AC71" s="164"/>
      <c r="AD71" s="832"/>
      <c r="AE71" s="832"/>
      <c r="AF71" s="832"/>
      <c r="AG71" s="832"/>
      <c r="AH71" s="832"/>
      <c r="AI71" s="832"/>
    </row>
    <row r="72" spans="1:35">
      <c r="A72" s="1"/>
      <c r="B72" s="164"/>
      <c r="C72" s="1630" t="s">
        <v>277</v>
      </c>
      <c r="D72" s="1630"/>
      <c r="E72" s="1425">
        <v>0</v>
      </c>
      <c r="F72" s="1421"/>
      <c r="G72" s="1421"/>
      <c r="H72" s="164"/>
      <c r="I72" s="164"/>
      <c r="J72" s="164"/>
      <c r="K72" s="164"/>
      <c r="L72" s="164"/>
      <c r="M72" s="164"/>
      <c r="N72" s="164"/>
      <c r="O72" s="164"/>
      <c r="P72" s="164"/>
      <c r="Q72" s="164"/>
      <c r="R72" s="164"/>
      <c r="S72" s="164"/>
      <c r="T72" s="164"/>
      <c r="U72" s="164"/>
      <c r="V72" s="164"/>
      <c r="W72" s="164"/>
      <c r="X72" s="164"/>
      <c r="Y72" s="165"/>
      <c r="Z72" s="165"/>
      <c r="AA72" s="164"/>
      <c r="AB72" s="165"/>
      <c r="AC72" s="164"/>
      <c r="AD72" s="832"/>
      <c r="AE72" s="832"/>
      <c r="AF72" s="832"/>
      <c r="AG72" s="832"/>
      <c r="AH72" s="832"/>
      <c r="AI72" s="832"/>
    </row>
    <row r="73" spans="1:35">
      <c r="A73" s="1"/>
      <c r="B73" s="164"/>
      <c r="C73" s="1630" t="s">
        <v>278</v>
      </c>
      <c r="D73" s="1630"/>
      <c r="E73" s="1425">
        <v>0</v>
      </c>
      <c r="F73" s="1421"/>
      <c r="G73" s="1421"/>
      <c r="H73" s="164"/>
      <c r="I73" s="164"/>
      <c r="J73" s="164"/>
      <c r="K73" s="164"/>
      <c r="L73" s="164"/>
      <c r="M73" s="164"/>
      <c r="N73" s="164"/>
      <c r="O73" s="164"/>
      <c r="P73" s="164"/>
      <c r="Q73" s="164"/>
      <c r="R73" s="164"/>
      <c r="S73" s="164"/>
      <c r="T73" s="164"/>
      <c r="U73" s="164"/>
      <c r="V73" s="164"/>
      <c r="W73" s="164"/>
      <c r="X73" s="164"/>
      <c r="Y73" s="165"/>
      <c r="Z73" s="165"/>
      <c r="AA73" s="164"/>
      <c r="AB73" s="165"/>
      <c r="AC73" s="164"/>
      <c r="AD73" s="832"/>
      <c r="AE73" s="832"/>
      <c r="AF73" s="832"/>
      <c r="AG73" s="832"/>
      <c r="AH73" s="832"/>
      <c r="AI73" s="832"/>
    </row>
    <row r="74" spans="1:35">
      <c r="A74" s="1"/>
      <c r="B74" s="164"/>
      <c r="C74" s="1630" t="s">
        <v>279</v>
      </c>
      <c r="D74" s="1630"/>
      <c r="E74" s="1425">
        <v>2</v>
      </c>
      <c r="F74" s="1421"/>
      <c r="G74" s="1421"/>
      <c r="H74" s="164"/>
      <c r="I74" s="164"/>
      <c r="J74" s="164"/>
      <c r="K74" s="164"/>
      <c r="L74" s="164"/>
      <c r="M74" s="164"/>
      <c r="N74" s="164"/>
      <c r="O74" s="164"/>
      <c r="P74" s="164"/>
      <c r="Q74" s="164"/>
      <c r="R74" s="164"/>
      <c r="S74" s="164"/>
      <c r="T74" s="164"/>
      <c r="U74" s="164"/>
      <c r="V74" s="164"/>
      <c r="W74" s="164"/>
      <c r="X74" s="164"/>
      <c r="Y74" s="165"/>
      <c r="Z74" s="165"/>
      <c r="AA74" s="164"/>
      <c r="AB74" s="165"/>
      <c r="AC74" s="164"/>
      <c r="AD74" s="832"/>
      <c r="AE74" s="832"/>
      <c r="AF74" s="832"/>
      <c r="AG74" s="832"/>
      <c r="AH74" s="832"/>
      <c r="AI74" s="832"/>
    </row>
    <row r="75" spans="1:35" s="832" customFormat="1">
      <c r="A75" s="833"/>
      <c r="B75" s="164"/>
      <c r="C75" s="1630" t="s">
        <v>1399</v>
      </c>
      <c r="D75" s="1630"/>
      <c r="E75" s="1425">
        <v>0</v>
      </c>
      <c r="F75" s="1421"/>
      <c r="G75" s="1421"/>
      <c r="H75" s="164"/>
      <c r="I75" s="164"/>
      <c r="J75" s="164"/>
      <c r="K75" s="164"/>
      <c r="L75" s="164"/>
      <c r="M75" s="164"/>
      <c r="N75" s="164"/>
      <c r="O75" s="164"/>
      <c r="P75" s="164"/>
      <c r="Q75" s="164"/>
      <c r="R75" s="164"/>
      <c r="S75" s="164"/>
      <c r="T75" s="164"/>
      <c r="U75" s="164"/>
      <c r="V75" s="164"/>
      <c r="W75" s="164"/>
      <c r="X75" s="164"/>
      <c r="Y75" s="165"/>
      <c r="Z75" s="165"/>
      <c r="AA75" s="164"/>
      <c r="AB75" s="165"/>
      <c r="AC75" s="164"/>
    </row>
    <row r="76" spans="1:35">
      <c r="A76" s="164"/>
      <c r="B76" s="164"/>
      <c r="C76" s="1630" t="s">
        <v>280</v>
      </c>
      <c r="D76" s="1630"/>
      <c r="E76" s="1425">
        <v>1</v>
      </c>
      <c r="F76" s="1421"/>
      <c r="G76" s="1421"/>
      <c r="H76" s="164"/>
      <c r="I76" s="164"/>
      <c r="J76" s="164"/>
      <c r="K76" s="164"/>
      <c r="L76" s="164"/>
      <c r="M76" s="164"/>
      <c r="N76" s="164"/>
      <c r="O76" s="164"/>
      <c r="P76" s="164"/>
      <c r="Q76" s="164"/>
      <c r="R76" s="164"/>
      <c r="S76" s="164"/>
      <c r="T76" s="164"/>
      <c r="U76" s="164"/>
      <c r="V76" s="164"/>
      <c r="W76" s="164"/>
      <c r="X76" s="164"/>
      <c r="Y76" s="165"/>
      <c r="Z76" s="165"/>
      <c r="AA76" s="164"/>
      <c r="AB76" s="165"/>
      <c r="AC76" s="164"/>
      <c r="AD76" s="832"/>
      <c r="AE76" s="832"/>
      <c r="AF76" s="832"/>
      <c r="AG76" s="832"/>
      <c r="AH76" s="832"/>
      <c r="AI76" s="832"/>
    </row>
    <row r="77" spans="1:35" s="832" customFormat="1" ht="15.75" customHeight="1">
      <c r="A77" s="164"/>
      <c r="B77" s="164"/>
      <c r="C77" s="1630" t="s">
        <v>1400</v>
      </c>
      <c r="D77" s="1630"/>
      <c r="E77" s="1425">
        <v>0</v>
      </c>
      <c r="F77" s="1421"/>
      <c r="G77" s="1421"/>
      <c r="H77" s="164"/>
      <c r="I77" s="164"/>
      <c r="J77" s="164"/>
      <c r="K77" s="164"/>
      <c r="L77" s="164"/>
      <c r="M77" s="164"/>
      <c r="N77" s="164"/>
      <c r="O77" s="164"/>
      <c r="P77" s="164"/>
      <c r="Q77" s="164"/>
      <c r="R77" s="164"/>
      <c r="S77" s="164"/>
      <c r="T77" s="164"/>
      <c r="U77" s="164"/>
      <c r="V77" s="164"/>
      <c r="W77" s="164"/>
      <c r="X77" s="164"/>
      <c r="Y77" s="165"/>
      <c r="Z77" s="165"/>
      <c r="AA77" s="164"/>
      <c r="AB77" s="165"/>
      <c r="AC77" s="164"/>
    </row>
    <row r="78" spans="1:35">
      <c r="A78" s="164"/>
      <c r="B78" s="164"/>
      <c r="C78" s="1630" t="s">
        <v>1031</v>
      </c>
      <c r="D78" s="1630"/>
      <c r="E78" s="1425">
        <v>3</v>
      </c>
      <c r="F78" s="1421"/>
      <c r="G78" s="1421"/>
      <c r="H78" s="164"/>
      <c r="I78" s="164"/>
      <c r="J78" s="164"/>
      <c r="K78" s="164"/>
      <c r="L78" s="164"/>
      <c r="M78" s="164"/>
      <c r="N78" s="164"/>
      <c r="O78" s="164"/>
      <c r="P78" s="164"/>
      <c r="Q78" s="164"/>
      <c r="R78" s="164"/>
      <c r="S78" s="164"/>
      <c r="T78" s="164"/>
      <c r="U78" s="164"/>
      <c r="V78" s="164"/>
      <c r="W78" s="164"/>
      <c r="X78" s="164"/>
      <c r="Y78" s="165"/>
      <c r="Z78" s="165"/>
      <c r="AA78" s="164"/>
      <c r="AB78" s="165"/>
      <c r="AC78" s="164"/>
      <c r="AD78" s="832"/>
      <c r="AE78" s="832"/>
      <c r="AF78" s="832"/>
      <c r="AG78" s="832"/>
      <c r="AH78" s="832"/>
      <c r="AI78" s="832"/>
    </row>
    <row r="79" spans="1:35">
      <c r="A79" s="164"/>
      <c r="B79" s="164"/>
      <c r="C79" s="1536"/>
      <c r="D79" s="1537"/>
      <c r="E79" s="1538"/>
      <c r="F79" s="1539"/>
      <c r="G79" s="1540"/>
      <c r="H79" s="164"/>
      <c r="I79" s="164"/>
      <c r="J79" s="164"/>
      <c r="K79" s="164"/>
      <c r="L79" s="164"/>
      <c r="M79" s="164"/>
      <c r="N79" s="164"/>
      <c r="O79" s="164"/>
      <c r="P79" s="164"/>
      <c r="Q79" s="164"/>
      <c r="R79" s="164"/>
      <c r="S79" s="164"/>
      <c r="T79" s="164"/>
      <c r="U79" s="164"/>
      <c r="V79" s="164"/>
      <c r="W79" s="164"/>
      <c r="X79" s="164"/>
      <c r="Y79" s="165"/>
      <c r="Z79" s="165"/>
      <c r="AA79" s="164"/>
      <c r="AB79" s="165"/>
      <c r="AC79" s="164"/>
      <c r="AD79" s="832"/>
      <c r="AE79" s="832"/>
      <c r="AF79" s="832"/>
      <c r="AG79" s="832"/>
      <c r="AH79" s="832"/>
      <c r="AI79" s="832"/>
    </row>
    <row r="80" spans="1:35" ht="15.75" customHeight="1">
      <c r="A80" s="164"/>
      <c r="B80" s="164"/>
      <c r="C80" s="1629" t="s">
        <v>1569</v>
      </c>
      <c r="D80" s="1629"/>
      <c r="E80" s="1533" t="s">
        <v>1525</v>
      </c>
      <c r="F80" s="1528"/>
      <c r="G80" s="1533" t="s">
        <v>1534</v>
      </c>
      <c r="H80" s="164"/>
      <c r="I80" s="164"/>
      <c r="J80" s="164"/>
      <c r="K80" s="164"/>
      <c r="L80" s="164"/>
      <c r="M80" s="164"/>
      <c r="N80" s="164"/>
      <c r="O80" s="164"/>
      <c r="P80" s="164"/>
      <c r="Q80" s="164"/>
      <c r="R80" s="164"/>
      <c r="S80" s="164"/>
      <c r="T80" s="164"/>
      <c r="U80" s="164"/>
      <c r="V80" s="164"/>
      <c r="W80" s="164"/>
      <c r="X80" s="164"/>
      <c r="Y80" s="165"/>
      <c r="Z80" s="165"/>
      <c r="AA80" s="164"/>
      <c r="AB80" s="165"/>
      <c r="AC80" s="164"/>
      <c r="AD80" s="832"/>
      <c r="AE80" s="832"/>
      <c r="AF80" s="832"/>
      <c r="AG80" s="832"/>
      <c r="AH80" s="832"/>
      <c r="AI80" s="832"/>
    </row>
    <row r="81" spans="1:35" ht="15" customHeight="1">
      <c r="A81" s="164"/>
      <c r="B81" s="164"/>
      <c r="C81" s="1630" t="s">
        <v>37</v>
      </c>
      <c r="D81" s="1630"/>
      <c r="E81" s="1425">
        <v>1</v>
      </c>
      <c r="F81" s="1434"/>
      <c r="G81" s="1495">
        <v>0</v>
      </c>
      <c r="H81" s="164"/>
      <c r="I81" s="164"/>
      <c r="J81" s="164"/>
      <c r="K81" s="164"/>
      <c r="L81" s="164"/>
      <c r="M81" s="164"/>
      <c r="N81" s="164"/>
      <c r="O81" s="164"/>
      <c r="P81" s="164"/>
      <c r="Q81" s="164"/>
      <c r="R81" s="164"/>
      <c r="S81" s="164"/>
      <c r="T81" s="164"/>
      <c r="U81" s="164"/>
      <c r="V81" s="164"/>
      <c r="W81" s="164"/>
      <c r="X81" s="164"/>
      <c r="Y81" s="165"/>
      <c r="Z81" s="165"/>
      <c r="AA81" s="164"/>
      <c r="AB81" s="165"/>
      <c r="AC81" s="164"/>
      <c r="AD81" s="832"/>
      <c r="AE81" s="832"/>
      <c r="AF81" s="832"/>
      <c r="AG81" s="832"/>
      <c r="AH81" s="832"/>
      <c r="AI81" s="832"/>
    </row>
    <row r="82" spans="1:35" ht="15.75" customHeight="1">
      <c r="A82" s="164"/>
      <c r="B82" s="164"/>
      <c r="C82" s="1630" t="s">
        <v>284</v>
      </c>
      <c r="D82" s="1630"/>
      <c r="E82" s="1425">
        <v>2</v>
      </c>
      <c r="F82" s="1434"/>
      <c r="G82" s="1495">
        <v>0</v>
      </c>
      <c r="H82" s="164"/>
      <c r="I82" s="164"/>
      <c r="J82" s="164"/>
      <c r="K82" s="164"/>
      <c r="L82" s="164"/>
      <c r="M82" s="164"/>
      <c r="N82" s="164"/>
      <c r="O82" s="164"/>
      <c r="P82" s="164"/>
      <c r="Q82" s="164"/>
      <c r="R82" s="164"/>
      <c r="S82" s="164"/>
      <c r="T82" s="164"/>
      <c r="U82" s="164"/>
      <c r="V82" s="164"/>
      <c r="W82" s="164"/>
      <c r="X82" s="164"/>
      <c r="Y82" s="165"/>
      <c r="Z82" s="165"/>
      <c r="AA82" s="164"/>
      <c r="AB82" s="165"/>
      <c r="AC82" s="164"/>
      <c r="AD82" s="832"/>
      <c r="AE82" s="832"/>
      <c r="AF82" s="832"/>
      <c r="AG82" s="832"/>
      <c r="AH82" s="832"/>
      <c r="AI82" s="832"/>
    </row>
    <row r="83" spans="1:35" ht="17.25" customHeight="1">
      <c r="A83" s="164"/>
      <c r="B83" s="164"/>
      <c r="C83" s="1630" t="s">
        <v>285</v>
      </c>
      <c r="D83" s="1630"/>
      <c r="E83" s="1425">
        <v>0</v>
      </c>
      <c r="F83" s="1434"/>
      <c r="G83" s="1495">
        <v>0</v>
      </c>
      <c r="H83" s="164"/>
      <c r="I83" s="164"/>
      <c r="J83" s="164"/>
      <c r="K83" s="164"/>
      <c r="L83" s="164"/>
      <c r="M83" s="164"/>
      <c r="N83" s="164"/>
      <c r="O83" s="164"/>
      <c r="P83" s="164"/>
      <c r="Q83" s="164"/>
      <c r="R83" s="164"/>
      <c r="S83" s="164"/>
      <c r="T83" s="164"/>
      <c r="U83" s="164"/>
      <c r="V83" s="164"/>
      <c r="W83" s="164"/>
      <c r="X83" s="164"/>
      <c r="Y83" s="165"/>
      <c r="Z83" s="165"/>
      <c r="AA83" s="164"/>
      <c r="AB83" s="165"/>
      <c r="AC83" s="164"/>
      <c r="AD83" s="832"/>
      <c r="AE83" s="832"/>
      <c r="AF83" s="832"/>
      <c r="AG83" s="832"/>
      <c r="AH83" s="832"/>
      <c r="AI83" s="832"/>
    </row>
    <row r="84" spans="1:35" ht="16.5" customHeight="1">
      <c r="A84" s="164"/>
      <c r="B84" s="164"/>
      <c r="C84" s="1630" t="s">
        <v>133</v>
      </c>
      <c r="D84" s="1630"/>
      <c r="E84" s="1425">
        <v>0</v>
      </c>
      <c r="F84" s="1434"/>
      <c r="G84" s="1495">
        <v>0</v>
      </c>
      <c r="H84" s="164"/>
      <c r="I84" s="164"/>
      <c r="J84" s="164"/>
      <c r="K84" s="164"/>
      <c r="L84" s="164"/>
      <c r="M84" s="164"/>
      <c r="N84" s="164"/>
      <c r="O84" s="164"/>
      <c r="P84" s="164"/>
      <c r="Q84" s="164"/>
      <c r="R84" s="164"/>
      <c r="S84" s="164"/>
      <c r="T84" s="164"/>
      <c r="U84" s="164"/>
      <c r="V84" s="164"/>
      <c r="W84" s="164"/>
      <c r="X84" s="164"/>
      <c r="Y84" s="165"/>
      <c r="Z84" s="165"/>
      <c r="AA84" s="164"/>
      <c r="AB84" s="165"/>
      <c r="AC84" s="164"/>
      <c r="AD84" s="832"/>
      <c r="AE84" s="832"/>
      <c r="AF84" s="832"/>
      <c r="AG84" s="832"/>
      <c r="AH84" s="832"/>
      <c r="AI84" s="832"/>
    </row>
    <row r="85" spans="1:35" ht="14.25" customHeight="1">
      <c r="A85" s="164"/>
      <c r="B85" s="164"/>
      <c r="C85" s="1630" t="s">
        <v>163</v>
      </c>
      <c r="D85" s="1630"/>
      <c r="E85" s="1425">
        <v>0</v>
      </c>
      <c r="F85" s="1434"/>
      <c r="G85" s="1495">
        <v>0</v>
      </c>
      <c r="H85" s="164"/>
      <c r="I85" s="164"/>
      <c r="J85" s="164"/>
      <c r="K85" s="164"/>
      <c r="L85" s="164"/>
      <c r="M85" s="164"/>
      <c r="N85" s="164"/>
      <c r="O85" s="164"/>
      <c r="P85" s="164"/>
      <c r="Q85" s="164"/>
      <c r="R85" s="164"/>
      <c r="S85" s="164"/>
      <c r="T85" s="164"/>
      <c r="U85" s="164"/>
      <c r="V85" s="164"/>
      <c r="W85" s="164"/>
      <c r="X85" s="164"/>
      <c r="Y85" s="164"/>
      <c r="Z85" s="164"/>
      <c r="AA85" s="164"/>
      <c r="AB85" s="164"/>
      <c r="AC85" s="164"/>
      <c r="AD85" s="832"/>
      <c r="AE85" s="832"/>
      <c r="AF85" s="832"/>
      <c r="AG85" s="832"/>
      <c r="AH85" s="832"/>
      <c r="AI85" s="832"/>
    </row>
    <row r="86" spans="1:35">
      <c r="A86" s="164"/>
      <c r="B86" s="164"/>
      <c r="C86" s="1630" t="s">
        <v>1558</v>
      </c>
      <c r="D86" s="1630"/>
      <c r="E86" s="1494">
        <v>3</v>
      </c>
      <c r="F86" s="1542"/>
      <c r="G86" s="1495">
        <v>0</v>
      </c>
      <c r="H86" s="164"/>
      <c r="I86" s="164"/>
      <c r="J86" s="164"/>
      <c r="K86" s="164"/>
      <c r="L86" s="164"/>
      <c r="M86" s="164"/>
      <c r="N86" s="164"/>
      <c r="O86" s="164"/>
      <c r="P86" s="164"/>
      <c r="Q86" s="164"/>
      <c r="R86" s="164"/>
      <c r="S86" s="164"/>
      <c r="T86" s="164"/>
      <c r="U86" s="164"/>
      <c r="V86" s="164"/>
      <c r="W86" s="164"/>
      <c r="X86" s="164"/>
      <c r="Y86" s="164"/>
      <c r="Z86" s="164"/>
      <c r="AA86" s="164"/>
      <c r="AB86" s="164"/>
      <c r="AC86" s="164"/>
      <c r="AD86" s="832"/>
      <c r="AE86" s="832"/>
      <c r="AF86" s="832"/>
      <c r="AG86" s="832"/>
      <c r="AH86" s="832"/>
      <c r="AI86" s="832"/>
    </row>
    <row r="87" spans="1:35">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832"/>
      <c r="AE87" s="832"/>
      <c r="AF87" s="832"/>
      <c r="AG87" s="832"/>
      <c r="AH87" s="832"/>
      <c r="AI87" s="832"/>
    </row>
    <row r="88" spans="1:35">
      <c r="C88" s="164"/>
      <c r="D88" s="164"/>
      <c r="E88" s="164"/>
      <c r="F88" s="164"/>
      <c r="G88" s="164"/>
      <c r="AD88" s="832"/>
      <c r="AE88" s="832"/>
      <c r="AF88" s="832"/>
      <c r="AG88" s="832"/>
      <c r="AH88" s="832"/>
      <c r="AI88" s="832"/>
    </row>
    <row r="89" spans="1:35">
      <c r="AD89" s="832"/>
      <c r="AE89" s="832"/>
      <c r="AF89" s="832"/>
      <c r="AG89" s="832"/>
      <c r="AH89" s="832"/>
      <c r="AI89" s="832"/>
    </row>
    <row r="90" spans="1:35">
      <c r="AD90" s="832"/>
      <c r="AE90" s="832"/>
      <c r="AF90" s="832"/>
      <c r="AG90" s="832"/>
      <c r="AH90" s="832"/>
      <c r="AI90" s="832"/>
    </row>
    <row r="91" spans="1:35">
      <c r="AD91" s="832"/>
      <c r="AE91" s="832"/>
      <c r="AF91" s="832"/>
      <c r="AG91" s="832"/>
      <c r="AH91" s="832"/>
      <c r="AI91" s="832"/>
    </row>
  </sheetData>
  <sortState ref="B44:AP46">
    <sortCondition ref="C44:C46"/>
  </sortState>
  <mergeCells count="50">
    <mergeCell ref="A7:M7"/>
    <mergeCell ref="N7:AB7"/>
    <mergeCell ref="C43:H43"/>
    <mergeCell ref="C44:D44"/>
    <mergeCell ref="C50:D50"/>
    <mergeCell ref="E44:H44"/>
    <mergeCell ref="E45:H45"/>
    <mergeCell ref="E46:H46"/>
    <mergeCell ref="E47:H47"/>
    <mergeCell ref="E48:H48"/>
    <mergeCell ref="E49:H49"/>
    <mergeCell ref="E50:H50"/>
    <mergeCell ref="C51:D51"/>
    <mergeCell ref="C52:D52"/>
    <mergeCell ref="C54:H54"/>
    <mergeCell ref="C45:D45"/>
    <mergeCell ref="C46:D46"/>
    <mergeCell ref="C47:D47"/>
    <mergeCell ref="C48:D48"/>
    <mergeCell ref="C49:D49"/>
    <mergeCell ref="E51:H51"/>
    <mergeCell ref="F52:H52"/>
    <mergeCell ref="C70:G70"/>
    <mergeCell ref="C76:D76"/>
    <mergeCell ref="C77:D77"/>
    <mergeCell ref="C78:D78"/>
    <mergeCell ref="C81:D81"/>
    <mergeCell ref="C71:D71"/>
    <mergeCell ref="C72:D72"/>
    <mergeCell ref="C73:D73"/>
    <mergeCell ref="C74:D74"/>
    <mergeCell ref="C75:D75"/>
    <mergeCell ref="C80:D80"/>
    <mergeCell ref="C83:D83"/>
    <mergeCell ref="C84:D84"/>
    <mergeCell ref="C85:D85"/>
    <mergeCell ref="C86:D86"/>
    <mergeCell ref="C82:D82"/>
    <mergeCell ref="C66:D66"/>
    <mergeCell ref="C67:D67"/>
    <mergeCell ref="C57:D57"/>
    <mergeCell ref="C58:D58"/>
    <mergeCell ref="C59:D59"/>
    <mergeCell ref="C60:D60"/>
    <mergeCell ref="C61:D61"/>
    <mergeCell ref="C56:D56"/>
    <mergeCell ref="C55:H55"/>
    <mergeCell ref="C64:F64"/>
    <mergeCell ref="C63:H63"/>
    <mergeCell ref="C62:D62"/>
  </mergeCells>
  <dataValidations count="3">
    <dataValidation type="list" allowBlank="1" sqref="N14">
      <formula1>"Vehicle fuel,Pipeline,Both,Other,Unknown"</formula1>
    </dataValidation>
    <dataValidation type="list" allowBlank="1" sqref="O24:P24">
      <formula1>"Pipeline,Vehicle Fuel,Both,Unknown,Other"</formula1>
    </dataValidation>
    <dataValidation type="list" allowBlank="1" sqref="R35 R33 R31 V20 R37">
      <formula1>"Pipeline,Vehicle Fuel,Both,Other,Unknown"</formula1>
    </dataValidation>
  </dataValidations>
  <hyperlinks>
    <hyperlink ref="Z24" r:id="rId1" display="http://www.northbaybusinessjournal.com/csp/mediapool/sites/NBBJ/IndustryNews/story.csp?cid=4179855&amp;sid=778&amp;fid=181"/>
    <hyperlink ref="Z10" r:id="rId2" display="http://www.americanbiogascouncil.org/projectprofiles/southsanfranciscoca.pdf"/>
    <hyperlink ref="Z22" r:id="rId3"/>
    <hyperlink ref="Z40" r:id="rId4"/>
  </hyperlink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'List Values'!$A$9:$A$17</xm:f>
          </x14:formula1>
          <xm:sqref>A18:A19 A38:A40 A21:A30 C22 A10:A16</xm:sqref>
        </x14:dataValidation>
        <x14:dataValidation type="list" allowBlank="1" showInputMessage="1" showErrorMessage="1">
          <x14:formula1>
            <xm:f>'C:\Users\vos\Desktop\Energy Vision\ANL database project\2018 update\Complete database\[RNG_Database_update_2018 12.10.18.xlsx]List Values'!#REF!</xm:f>
          </x14:formula1>
          <xm:sqref>A37 A35 A33 D20 A31</xm:sqref>
        </x14:dataValidation>
        <x14:dataValidation type="list" allowBlank="1" showInputMessage="1" showErrorMessage="1">
          <x14:formula1>
            <xm:f>'List Values'!$A$2:$A$6</xm:f>
          </x14:formula1>
          <xm:sqref>R10:R16 R18:R19 R21:R30</xm:sqref>
        </x14:dataValidation>
        <x14:dataValidation type="list" allowBlank="1">
          <x14:formula1>
            <xm:f>'List Values'!$A$2:$A$6</xm:f>
          </x14:formula1>
          <xm:sqref>R38:R40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142"/>
  <sheetViews>
    <sheetView topLeftCell="C1" zoomScaleNormal="100" workbookViewId="0">
      <pane ySplit="8" topLeftCell="A119" activePane="bottomLeft" state="frozen"/>
      <selection activeCell="S1" sqref="S1"/>
      <selection pane="bottomLeft" activeCell="J56" sqref="J56"/>
    </sheetView>
  </sheetViews>
  <sheetFormatPr defaultColWidth="12.85546875" defaultRowHeight="15"/>
  <cols>
    <col min="1" max="1" width="13.42578125" customWidth="1"/>
    <col min="2" max="2" width="20" customWidth="1"/>
    <col min="3" max="3" width="19.28515625" customWidth="1"/>
    <col min="4" max="4" width="8.85546875" customWidth="1"/>
    <col min="5" max="5" width="14.140625" customWidth="1"/>
    <col min="6" max="6" width="12" customWidth="1"/>
    <col min="7" max="7" width="10.85546875" customWidth="1"/>
    <col min="8" max="8" width="8.28515625" customWidth="1"/>
    <col min="9" max="9" width="9.28515625" style="832" customWidth="1"/>
    <col min="10" max="10" width="10.42578125" customWidth="1"/>
    <col min="11" max="11" width="35" customWidth="1"/>
    <col min="12" max="13" width="7.140625" customWidth="1"/>
    <col min="14" max="14" width="7" customWidth="1"/>
    <col min="15" max="15" width="7.85546875" customWidth="1"/>
    <col min="16" max="16" width="8.28515625" customWidth="1"/>
    <col min="17" max="17" width="9.28515625" customWidth="1"/>
    <col min="18" max="18" width="7.28515625" customWidth="1"/>
    <col min="19" max="19" width="8.140625" customWidth="1"/>
    <col min="20" max="20" width="8.85546875" customWidth="1"/>
    <col min="21" max="21" width="8.5703125" customWidth="1"/>
    <col min="22" max="22" width="9.5703125" customWidth="1"/>
    <col min="23" max="23" width="9.140625" customWidth="1"/>
    <col min="24" max="24" width="7" customWidth="1"/>
    <col min="25" max="25" width="26.140625" customWidth="1"/>
    <col min="26" max="26" width="23.28515625" customWidth="1"/>
    <col min="27" max="27" width="56.140625" customWidth="1"/>
    <col min="28" max="28" width="19.42578125" customWidth="1"/>
    <col min="29" max="29" width="67.140625" customWidth="1"/>
  </cols>
  <sheetData>
    <row r="1" spans="1:29" ht="15.75">
      <c r="A1" s="998" t="s">
        <v>0</v>
      </c>
      <c r="B1" s="3" t="s">
        <v>1</v>
      </c>
      <c r="C1" s="1502"/>
      <c r="D1" s="1503"/>
      <c r="E1" s="833"/>
      <c r="F1" s="4" t="s">
        <v>2</v>
      </c>
      <c r="G1" s="5"/>
      <c r="H1" s="5"/>
      <c r="I1" s="5"/>
      <c r="J1" s="5"/>
      <c r="K1" s="5"/>
      <c r="L1" s="5"/>
      <c r="M1" s="5"/>
      <c r="N1" s="5"/>
      <c r="O1" s="5"/>
      <c r="P1" s="5"/>
      <c r="Q1" s="5"/>
      <c r="R1" s="5"/>
      <c r="S1" s="5"/>
      <c r="T1" s="5"/>
      <c r="U1" s="5"/>
      <c r="V1" s="5"/>
      <c r="W1" s="5"/>
      <c r="X1" s="5"/>
      <c r="Y1" s="5"/>
      <c r="Z1" s="5"/>
      <c r="AA1" s="5"/>
      <c r="AB1" s="5"/>
      <c r="AC1" s="5"/>
    </row>
    <row r="2" spans="1:29">
      <c r="A2" s="5"/>
      <c r="B2" s="6" t="s">
        <v>1521</v>
      </c>
      <c r="C2" s="1504"/>
      <c r="D2" s="1505"/>
      <c r="E2" s="833"/>
      <c r="F2" s="4" t="s">
        <v>3</v>
      </c>
      <c r="G2" s="5"/>
      <c r="H2" s="5"/>
      <c r="I2" s="5"/>
      <c r="J2" s="5"/>
      <c r="K2" s="5"/>
      <c r="L2" s="5"/>
      <c r="M2" s="5"/>
      <c r="N2" s="5"/>
      <c r="O2" s="5"/>
      <c r="P2" s="5"/>
      <c r="Q2" s="5"/>
      <c r="R2" s="5"/>
      <c r="S2" s="5"/>
      <c r="T2" s="5"/>
      <c r="U2" s="5"/>
      <c r="V2" s="5"/>
      <c r="W2" s="5"/>
      <c r="X2" s="5"/>
      <c r="Y2" s="999"/>
      <c r="Z2" s="999"/>
      <c r="AA2" s="5"/>
      <c r="AB2" s="5"/>
      <c r="AC2" s="5"/>
    </row>
    <row r="3" spans="1:29">
      <c r="A3" s="5"/>
      <c r="B3" s="7" t="s">
        <v>1537</v>
      </c>
      <c r="C3" s="1506"/>
      <c r="D3" s="1507"/>
      <c r="E3" s="833"/>
      <c r="F3" s="833"/>
      <c r="G3" s="5"/>
      <c r="H3" s="5"/>
      <c r="I3" s="5"/>
      <c r="J3" s="5"/>
      <c r="K3" s="5"/>
      <c r="L3" s="5"/>
      <c r="M3" s="5"/>
      <c r="N3" s="5"/>
      <c r="O3" s="5"/>
      <c r="P3" s="5"/>
      <c r="Q3" s="5"/>
      <c r="R3" s="5"/>
      <c r="S3" s="5"/>
      <c r="T3" s="5"/>
      <c r="U3" s="5"/>
      <c r="V3" s="5"/>
      <c r="W3" s="5"/>
      <c r="X3" s="5"/>
      <c r="Y3" s="5"/>
      <c r="Z3" s="5"/>
      <c r="AA3" s="5"/>
      <c r="AB3" s="5"/>
      <c r="AC3" s="5"/>
    </row>
    <row r="4" spans="1:29">
      <c r="A4" s="5"/>
      <c r="B4" s="1411" t="s">
        <v>1551</v>
      </c>
      <c r="C4" s="1508"/>
      <c r="D4" s="1509"/>
      <c r="E4" s="833"/>
      <c r="F4" s="833"/>
      <c r="G4" s="5"/>
      <c r="H4" s="5"/>
      <c r="I4" s="5"/>
      <c r="J4" s="5"/>
      <c r="K4" s="5"/>
      <c r="L4" s="5"/>
      <c r="M4" s="5"/>
      <c r="N4" s="5"/>
      <c r="O4" s="5"/>
      <c r="P4" s="5"/>
      <c r="Q4" s="5"/>
      <c r="R4" s="5"/>
      <c r="S4" s="5"/>
      <c r="T4" s="5"/>
      <c r="U4" s="5"/>
      <c r="V4" s="5"/>
      <c r="W4" s="5"/>
      <c r="X4" s="5"/>
      <c r="Y4" s="5"/>
      <c r="Z4" s="5"/>
      <c r="AA4" s="5"/>
      <c r="AB4" s="5"/>
      <c r="AC4" s="5"/>
    </row>
    <row r="5" spans="1:29">
      <c r="A5" s="5"/>
      <c r="B5" s="1407" t="s">
        <v>1697</v>
      </c>
      <c r="C5" s="1510"/>
      <c r="D5" s="1511"/>
      <c r="E5" s="833"/>
      <c r="F5" s="833"/>
      <c r="G5" s="5"/>
      <c r="H5" s="5"/>
      <c r="I5" s="5"/>
      <c r="J5" s="5"/>
      <c r="K5" s="5"/>
      <c r="L5" s="5"/>
      <c r="M5" s="5"/>
      <c r="N5" s="5"/>
      <c r="O5" s="5"/>
      <c r="P5" s="5"/>
      <c r="Q5" s="5"/>
      <c r="R5" s="5"/>
      <c r="S5" s="5"/>
      <c r="T5" s="5"/>
      <c r="U5" s="5"/>
      <c r="V5" s="5"/>
      <c r="W5" s="5"/>
      <c r="X5" s="5"/>
      <c r="Y5" s="5"/>
      <c r="Z5" s="5"/>
      <c r="AA5" s="5"/>
      <c r="AB5" s="5"/>
      <c r="AC5" s="5"/>
    </row>
    <row r="6" spans="1:29">
      <c r="A6" s="5"/>
      <c r="B6" s="1416" t="s">
        <v>1523</v>
      </c>
      <c r="C6" s="1512"/>
      <c r="D6" s="1513"/>
      <c r="E6" s="833"/>
      <c r="F6" s="833"/>
      <c r="G6" s="5"/>
      <c r="H6" s="5"/>
      <c r="I6" s="5"/>
      <c r="J6" s="5"/>
      <c r="K6" s="5"/>
      <c r="L6" s="5"/>
      <c r="M6" s="5"/>
      <c r="N6" s="5"/>
      <c r="O6" s="5"/>
      <c r="P6" s="5"/>
      <c r="Q6" s="5"/>
      <c r="R6" s="5"/>
      <c r="S6" s="5"/>
      <c r="T6" s="5"/>
      <c r="U6" s="5"/>
      <c r="V6" s="5"/>
      <c r="W6" s="5"/>
      <c r="X6" s="5"/>
      <c r="Y6" s="5"/>
      <c r="Z6" s="5"/>
      <c r="AA6" s="5"/>
      <c r="AB6" s="5"/>
      <c r="AC6" s="5"/>
    </row>
    <row r="7" spans="1:29" ht="15.75">
      <c r="A7" s="1661" t="s">
        <v>4</v>
      </c>
      <c r="B7" s="1662"/>
      <c r="C7" s="1662"/>
      <c r="D7" s="1662"/>
      <c r="E7" s="1662"/>
      <c r="F7" s="1662"/>
      <c r="G7" s="1662"/>
      <c r="H7" s="1662"/>
      <c r="I7" s="1662"/>
      <c r="J7" s="1662"/>
      <c r="K7" s="1662"/>
      <c r="L7" s="1662"/>
      <c r="M7" s="1662"/>
      <c r="N7" s="1662"/>
      <c r="O7" s="1662"/>
      <c r="P7" s="1663" t="s">
        <v>1466</v>
      </c>
      <c r="Q7" s="1664"/>
      <c r="R7" s="1664"/>
      <c r="S7" s="1664"/>
      <c r="T7" s="1664"/>
      <c r="U7" s="1664"/>
      <c r="V7" s="1664"/>
      <c r="W7" s="1664"/>
      <c r="X7" s="1664"/>
      <c r="Y7" s="1664"/>
      <c r="Z7" s="1664"/>
      <c r="AA7" s="1665"/>
      <c r="AB7" s="808"/>
      <c r="AC7" s="808"/>
    </row>
    <row r="8" spans="1:29" ht="91.5">
      <c r="A8" s="273" t="s">
        <v>6</v>
      </c>
      <c r="B8" s="272" t="s">
        <v>1542</v>
      </c>
      <c r="C8" s="273" t="s">
        <v>476</v>
      </c>
      <c r="D8" s="273" t="s">
        <v>477</v>
      </c>
      <c r="E8" s="273" t="s">
        <v>478</v>
      </c>
      <c r="F8" s="273" t="s">
        <v>479</v>
      </c>
      <c r="G8" s="274" t="s">
        <v>8</v>
      </c>
      <c r="H8" s="273" t="s">
        <v>480</v>
      </c>
      <c r="I8" s="273" t="s">
        <v>1448</v>
      </c>
      <c r="J8" s="273" t="s">
        <v>481</v>
      </c>
      <c r="K8" s="273" t="s">
        <v>482</v>
      </c>
      <c r="L8" s="275" t="s">
        <v>483</v>
      </c>
      <c r="M8" s="275" t="s">
        <v>484</v>
      </c>
      <c r="N8" s="275" t="s">
        <v>485</v>
      </c>
      <c r="O8" s="275" t="s">
        <v>486</v>
      </c>
      <c r="P8" s="275" t="s">
        <v>1698</v>
      </c>
      <c r="Q8" s="275" t="s">
        <v>1463</v>
      </c>
      <c r="R8" s="275" t="s">
        <v>1465</v>
      </c>
      <c r="S8" s="1306" t="s">
        <v>1699</v>
      </c>
      <c r="T8" s="1307" t="s">
        <v>1700</v>
      </c>
      <c r="U8" s="1308" t="s">
        <v>22</v>
      </c>
      <c r="V8" s="1299" t="s">
        <v>1701</v>
      </c>
      <c r="W8" s="1307" t="s">
        <v>487</v>
      </c>
      <c r="X8" s="1309" t="s">
        <v>1458</v>
      </c>
      <c r="Y8" s="1501" t="s">
        <v>1461</v>
      </c>
    </row>
    <row r="9" spans="1:29" ht="15.75">
      <c r="A9" s="1313"/>
      <c r="B9" s="669" t="s">
        <v>26</v>
      </c>
      <c r="C9" s="276"/>
      <c r="D9" s="276"/>
      <c r="E9" s="276"/>
      <c r="F9" s="276"/>
      <c r="G9" s="276"/>
      <c r="H9" s="276"/>
      <c r="I9" s="276"/>
      <c r="J9" s="276"/>
      <c r="K9" s="276"/>
      <c r="L9" s="276"/>
      <c r="M9" s="276"/>
      <c r="N9" s="276"/>
      <c r="O9" s="276"/>
      <c r="P9" s="276"/>
      <c r="Q9" s="276"/>
      <c r="R9" s="276"/>
      <c r="S9" s="276"/>
      <c r="T9" s="276"/>
      <c r="U9" s="276"/>
      <c r="V9" s="276"/>
      <c r="W9" s="276"/>
      <c r="X9" s="276"/>
      <c r="Y9" s="1314"/>
    </row>
    <row r="10" spans="1:29" ht="83.25" customHeight="1">
      <c r="A10" s="389" t="s">
        <v>31</v>
      </c>
      <c r="B10" s="377" t="s">
        <v>489</v>
      </c>
      <c r="C10" s="376" t="s">
        <v>490</v>
      </c>
      <c r="D10" s="379">
        <v>9540801</v>
      </c>
      <c r="E10" s="376"/>
      <c r="F10" s="376" t="s">
        <v>491</v>
      </c>
      <c r="G10" s="390" t="s">
        <v>492</v>
      </c>
      <c r="H10" s="397">
        <v>38848</v>
      </c>
      <c r="I10" s="1312" t="s">
        <v>117</v>
      </c>
      <c r="J10" s="376" t="s">
        <v>493</v>
      </c>
      <c r="K10" s="376" t="s">
        <v>494</v>
      </c>
      <c r="L10" s="391">
        <v>2.7</v>
      </c>
      <c r="M10" s="570">
        <v>3.3119999999999998</v>
      </c>
      <c r="N10" s="376">
        <v>0</v>
      </c>
      <c r="O10" s="404">
        <f>P10/(0.9*0.001*365)</f>
        <v>1627397.2602739725</v>
      </c>
      <c r="P10" s="857">
        <v>534600</v>
      </c>
      <c r="Q10" s="389" t="s">
        <v>1444</v>
      </c>
      <c r="R10" s="376"/>
      <c r="S10" s="404">
        <f>P10/0.112194</f>
        <v>4764960.6930851918</v>
      </c>
      <c r="T10" s="346"/>
      <c r="U10" s="346" t="s">
        <v>66</v>
      </c>
      <c r="V10" s="376"/>
      <c r="W10" s="376" t="s">
        <v>1303</v>
      </c>
      <c r="X10" s="607" t="s">
        <v>27</v>
      </c>
      <c r="Y10" s="376" t="s">
        <v>488</v>
      </c>
    </row>
    <row r="11" spans="1:29" ht="94.5" customHeight="1">
      <c r="A11" s="280" t="s">
        <v>31</v>
      </c>
      <c r="B11" s="290" t="s">
        <v>496</v>
      </c>
      <c r="C11" s="289" t="s">
        <v>497</v>
      </c>
      <c r="D11" s="281">
        <v>60362396</v>
      </c>
      <c r="E11" s="289"/>
      <c r="F11" s="289" t="s">
        <v>498</v>
      </c>
      <c r="G11" s="291" t="s">
        <v>50</v>
      </c>
      <c r="H11" s="292">
        <v>40057</v>
      </c>
      <c r="I11" s="956" t="s">
        <v>117</v>
      </c>
      <c r="J11" s="289" t="s">
        <v>499</v>
      </c>
      <c r="K11" s="820" t="s">
        <v>500</v>
      </c>
      <c r="L11" s="293">
        <v>3.6</v>
      </c>
      <c r="M11" s="293">
        <v>8.33</v>
      </c>
      <c r="N11" s="289"/>
      <c r="O11" s="208">
        <f>P11/(0.9*0.001*365)</f>
        <v>1620580</v>
      </c>
      <c r="P11" s="208">
        <f>S11*0.112194</f>
        <v>532360.53</v>
      </c>
      <c r="Q11" s="280" t="s">
        <v>1444</v>
      </c>
      <c r="R11" s="289" t="s">
        <v>1298</v>
      </c>
      <c r="S11" s="821">
        <v>4745000</v>
      </c>
      <c r="T11" s="821">
        <v>4927500</v>
      </c>
      <c r="U11" s="1472" t="s">
        <v>501</v>
      </c>
      <c r="V11" s="386">
        <v>3436000</v>
      </c>
      <c r="W11" s="289" t="s">
        <v>497</v>
      </c>
      <c r="X11" s="295" t="s">
        <v>27</v>
      </c>
      <c r="Y11" s="289" t="s">
        <v>495</v>
      </c>
    </row>
    <row r="12" spans="1:29" ht="110.25" customHeight="1">
      <c r="A12" s="534" t="s">
        <v>31</v>
      </c>
      <c r="B12" s="535" t="s">
        <v>844</v>
      </c>
      <c r="C12" s="827" t="s">
        <v>1670</v>
      </c>
      <c r="D12" s="602">
        <v>16745404</v>
      </c>
      <c r="E12" s="827"/>
      <c r="F12" s="827" t="s">
        <v>845</v>
      </c>
      <c r="G12" s="829" t="s">
        <v>751</v>
      </c>
      <c r="H12" s="536">
        <v>39873</v>
      </c>
      <c r="I12" s="957" t="s">
        <v>117</v>
      </c>
      <c r="J12" s="827" t="s">
        <v>846</v>
      </c>
      <c r="K12" s="827" t="s">
        <v>847</v>
      </c>
      <c r="L12" s="293">
        <v>6.48</v>
      </c>
      <c r="M12" s="827"/>
      <c r="N12" s="827"/>
      <c r="O12" s="388">
        <f>L12*0.6*1000000</f>
        <v>3888000</v>
      </c>
      <c r="P12" s="1212">
        <f>O12*(0.001*365*0.9)</f>
        <v>1277208</v>
      </c>
      <c r="Q12" s="933" t="s">
        <v>1444</v>
      </c>
      <c r="R12" s="827" t="s">
        <v>38</v>
      </c>
      <c r="S12" s="1464">
        <f t="shared" ref="S12:S20" si="0">P12/0.112194</f>
        <v>11383924.274025349</v>
      </c>
      <c r="T12" s="309"/>
      <c r="U12" s="1217"/>
      <c r="V12" s="386">
        <v>618400</v>
      </c>
      <c r="W12" s="387" t="s">
        <v>1287</v>
      </c>
      <c r="X12" s="827"/>
      <c r="Y12" s="820" t="s">
        <v>1202</v>
      </c>
    </row>
    <row r="13" spans="1:29" ht="78.75" customHeight="1">
      <c r="A13" s="280" t="s">
        <v>31</v>
      </c>
      <c r="B13" s="819" t="s">
        <v>1544</v>
      </c>
      <c r="C13" s="820" t="s">
        <v>497</v>
      </c>
      <c r="D13" s="299">
        <v>28221670</v>
      </c>
      <c r="E13" s="820"/>
      <c r="F13" s="820" t="s">
        <v>510</v>
      </c>
      <c r="G13" s="282" t="s">
        <v>361</v>
      </c>
      <c r="H13" s="283">
        <v>42073</v>
      </c>
      <c r="I13" s="956" t="s">
        <v>117</v>
      </c>
      <c r="J13" s="820" t="s">
        <v>511</v>
      </c>
      <c r="K13" s="820" t="s">
        <v>512</v>
      </c>
      <c r="L13" s="822">
        <v>3.6</v>
      </c>
      <c r="M13" s="285">
        <v>5.05</v>
      </c>
      <c r="N13" s="820"/>
      <c r="O13" s="821">
        <v>1600000</v>
      </c>
      <c r="P13" s="301">
        <v>576000</v>
      </c>
      <c r="Q13" s="280" t="s">
        <v>1443</v>
      </c>
      <c r="R13" s="820"/>
      <c r="S13" s="1210">
        <f t="shared" si="0"/>
        <v>5133964.3831220921</v>
      </c>
      <c r="T13" s="821">
        <v>5486000</v>
      </c>
      <c r="U13" s="821" t="s">
        <v>513</v>
      </c>
      <c r="V13" s="281">
        <v>240500</v>
      </c>
      <c r="W13" s="820" t="s">
        <v>514</v>
      </c>
      <c r="X13" s="607" t="s">
        <v>27</v>
      </c>
      <c r="Y13" s="820" t="s">
        <v>508</v>
      </c>
    </row>
    <row r="14" spans="1:29" ht="96.75" customHeight="1">
      <c r="A14" s="202" t="s">
        <v>31</v>
      </c>
      <c r="B14" s="296" t="s">
        <v>1328</v>
      </c>
      <c r="C14" s="200" t="s">
        <v>1343</v>
      </c>
      <c r="D14" s="299">
        <v>8379839</v>
      </c>
      <c r="E14" s="200"/>
      <c r="F14" s="200"/>
      <c r="G14" s="203" t="s">
        <v>33</v>
      </c>
      <c r="H14" s="297" t="s">
        <v>1329</v>
      </c>
      <c r="I14" s="958" t="s">
        <v>117</v>
      </c>
      <c r="J14" s="200" t="s">
        <v>1330</v>
      </c>
      <c r="K14" s="200" t="s">
        <v>1331</v>
      </c>
      <c r="L14" s="848">
        <v>0.28799999999999998</v>
      </c>
      <c r="M14" s="200"/>
      <c r="N14" s="200"/>
      <c r="O14" s="208">
        <f>P14/(0.001*365*0.9)</f>
        <v>54794.520547945205</v>
      </c>
      <c r="P14" s="301">
        <v>18000</v>
      </c>
      <c r="Q14" s="202" t="s">
        <v>1444</v>
      </c>
      <c r="R14" s="822" t="s">
        <v>1191</v>
      </c>
      <c r="S14" s="1210">
        <f t="shared" si="0"/>
        <v>160436.38697256538</v>
      </c>
      <c r="T14" s="821"/>
      <c r="U14" s="821" t="s">
        <v>66</v>
      </c>
      <c r="V14" s="281">
        <v>27500</v>
      </c>
      <c r="W14" s="200"/>
      <c r="X14" s="563"/>
      <c r="Y14" s="200" t="s">
        <v>1344</v>
      </c>
    </row>
    <row r="15" spans="1:29" ht="127.5">
      <c r="A15" s="280" t="s">
        <v>31</v>
      </c>
      <c r="B15" s="819" t="s">
        <v>557</v>
      </c>
      <c r="C15" s="313" t="s">
        <v>558</v>
      </c>
      <c r="D15" s="281">
        <v>10040797</v>
      </c>
      <c r="E15" s="314"/>
      <c r="F15" s="314"/>
      <c r="G15" s="969" t="s">
        <v>172</v>
      </c>
      <c r="H15" s="314"/>
      <c r="I15" s="959" t="s">
        <v>117</v>
      </c>
      <c r="J15" s="314" t="s">
        <v>559</v>
      </c>
      <c r="K15" s="110" t="s">
        <v>560</v>
      </c>
      <c r="L15" s="849">
        <v>2.59</v>
      </c>
      <c r="M15" s="314"/>
      <c r="N15" s="314"/>
      <c r="O15" s="208">
        <f>P15/(0.001*365*0.9)</f>
        <v>1298021.308980213</v>
      </c>
      <c r="P15" s="327">
        <v>426400</v>
      </c>
      <c r="Q15" s="934" t="s">
        <v>1443</v>
      </c>
      <c r="R15" s="315"/>
      <c r="S15" s="1213">
        <f t="shared" si="0"/>
        <v>3800559.7447278821</v>
      </c>
      <c r="T15" s="314"/>
      <c r="U15" s="314"/>
      <c r="V15" s="374">
        <v>247200</v>
      </c>
      <c r="W15" s="314"/>
      <c r="X15" s="313"/>
      <c r="Y15" s="313" t="s">
        <v>556</v>
      </c>
    </row>
    <row r="16" spans="1:29" ht="93.75" customHeight="1">
      <c r="A16" s="1198" t="s">
        <v>31</v>
      </c>
      <c r="B16" s="302" t="s">
        <v>516</v>
      </c>
      <c r="C16" s="827" t="s">
        <v>517</v>
      </c>
      <c r="D16" s="281">
        <v>40363324</v>
      </c>
      <c r="E16" s="820"/>
      <c r="F16" s="820" t="s">
        <v>518</v>
      </c>
      <c r="G16" s="777" t="s">
        <v>172</v>
      </c>
      <c r="H16" s="283">
        <v>37135</v>
      </c>
      <c r="I16" s="956" t="s">
        <v>117</v>
      </c>
      <c r="J16" s="820" t="s">
        <v>519</v>
      </c>
      <c r="K16" s="820" t="s">
        <v>520</v>
      </c>
      <c r="L16" s="285">
        <v>7</v>
      </c>
      <c r="M16" s="285">
        <v>9.7319999999999993</v>
      </c>
      <c r="N16" s="285">
        <v>0</v>
      </c>
      <c r="O16" s="821">
        <v>2733158</v>
      </c>
      <c r="P16" s="824">
        <v>1000000</v>
      </c>
      <c r="Q16" s="280" t="s">
        <v>1443</v>
      </c>
      <c r="R16" s="820" t="s">
        <v>38</v>
      </c>
      <c r="S16" s="821">
        <f t="shared" si="0"/>
        <v>8913132.6095869653</v>
      </c>
      <c r="T16" s="823"/>
      <c r="U16" s="304"/>
      <c r="V16" s="386">
        <v>668000</v>
      </c>
      <c r="W16" s="344" t="s">
        <v>1304</v>
      </c>
      <c r="X16" s="827" t="s">
        <v>27</v>
      </c>
      <c r="Y16" s="820" t="s">
        <v>515</v>
      </c>
    </row>
    <row r="17" spans="1:25" ht="48" customHeight="1">
      <c r="A17" s="348" t="s">
        <v>31</v>
      </c>
      <c r="B17" s="347" t="s">
        <v>866</v>
      </c>
      <c r="C17" s="820" t="s">
        <v>744</v>
      </c>
      <c r="D17" s="281">
        <v>34578261</v>
      </c>
      <c r="E17" s="314"/>
      <c r="F17" s="1347" t="s">
        <v>532</v>
      </c>
      <c r="G17" s="840" t="s">
        <v>862</v>
      </c>
      <c r="H17" s="841">
        <v>43191</v>
      </c>
      <c r="I17" s="960" t="s">
        <v>117</v>
      </c>
      <c r="J17" s="820" t="s">
        <v>511</v>
      </c>
      <c r="K17" s="285" t="s">
        <v>851</v>
      </c>
      <c r="L17" s="373">
        <v>7.2</v>
      </c>
      <c r="M17" s="314"/>
      <c r="N17" s="314"/>
      <c r="O17" s="1210">
        <f>P17/(0.001*365*0.9)</f>
        <v>2503744.2922374429</v>
      </c>
      <c r="P17" s="208">
        <v>822480</v>
      </c>
      <c r="Q17" s="1492" t="s">
        <v>1444</v>
      </c>
      <c r="R17" s="315" t="s">
        <v>38</v>
      </c>
      <c r="S17" s="1210">
        <f t="shared" si="0"/>
        <v>7330873.308733087</v>
      </c>
      <c r="T17" s="314"/>
      <c r="U17" s="314"/>
      <c r="V17" s="281">
        <v>630300</v>
      </c>
      <c r="W17" s="285" t="s">
        <v>1203</v>
      </c>
      <c r="X17" s="566" t="s">
        <v>27</v>
      </c>
      <c r="Y17" s="313" t="s">
        <v>865</v>
      </c>
    </row>
    <row r="18" spans="1:25" ht="51" customHeight="1">
      <c r="A18" s="280" t="s">
        <v>31</v>
      </c>
      <c r="B18" s="819" t="s">
        <v>522</v>
      </c>
      <c r="C18" s="820" t="s">
        <v>523</v>
      </c>
      <c r="D18" s="281">
        <v>10347667</v>
      </c>
      <c r="E18" s="820"/>
      <c r="F18" s="820" t="s">
        <v>524</v>
      </c>
      <c r="G18" s="390" t="s">
        <v>525</v>
      </c>
      <c r="H18" s="283">
        <v>39539</v>
      </c>
      <c r="I18" s="960" t="s">
        <v>117</v>
      </c>
      <c r="J18" s="820" t="s">
        <v>526</v>
      </c>
      <c r="K18" s="820" t="s">
        <v>527</v>
      </c>
      <c r="L18" s="285">
        <v>2.14</v>
      </c>
      <c r="M18" s="293">
        <v>2.5</v>
      </c>
      <c r="N18" s="820">
        <v>0</v>
      </c>
      <c r="O18" s="850">
        <f>P18/(0.001*365*0.9)</f>
        <v>1246003.0441400304</v>
      </c>
      <c r="P18" s="208">
        <v>409312</v>
      </c>
      <c r="Q18" s="280" t="s">
        <v>1444</v>
      </c>
      <c r="R18" s="820"/>
      <c r="S18" s="208">
        <f t="shared" si="0"/>
        <v>3648252.1346952599</v>
      </c>
      <c r="T18" s="307"/>
      <c r="U18" s="823" t="s">
        <v>66</v>
      </c>
      <c r="V18" s="299">
        <v>204200</v>
      </c>
      <c r="W18" s="820" t="s">
        <v>528</v>
      </c>
      <c r="X18" s="826" t="s">
        <v>27</v>
      </c>
      <c r="Y18" s="820" t="s">
        <v>521</v>
      </c>
    </row>
    <row r="19" spans="1:25" ht="82.5">
      <c r="A19" s="348" t="s">
        <v>31</v>
      </c>
      <c r="B19" s="347" t="s">
        <v>754</v>
      </c>
      <c r="C19" s="820" t="s">
        <v>755</v>
      </c>
      <c r="D19" s="281">
        <v>11152610</v>
      </c>
      <c r="E19" s="329"/>
      <c r="F19" s="329"/>
      <c r="G19" s="331" t="s">
        <v>525</v>
      </c>
      <c r="H19" s="329">
        <v>2018</v>
      </c>
      <c r="I19" s="1206" t="s">
        <v>117</v>
      </c>
      <c r="J19" s="329" t="s">
        <v>1316</v>
      </c>
      <c r="K19" s="820" t="s">
        <v>756</v>
      </c>
      <c r="L19" s="301">
        <v>2.95</v>
      </c>
      <c r="M19" s="329"/>
      <c r="N19" s="329"/>
      <c r="O19" s="1213">
        <f>L19*0.6*1000000</f>
        <v>1770000</v>
      </c>
      <c r="P19" s="327">
        <f>O19*(0.001*365*0.9)</f>
        <v>581445</v>
      </c>
      <c r="Q19" s="1493" t="s">
        <v>1444</v>
      </c>
      <c r="R19" s="332"/>
      <c r="S19" s="208">
        <f t="shared" si="0"/>
        <v>5182496.3901812928</v>
      </c>
      <c r="T19" s="821">
        <v>6000000</v>
      </c>
      <c r="U19" s="820" t="s">
        <v>66</v>
      </c>
      <c r="V19" s="281">
        <v>281500</v>
      </c>
      <c r="W19" s="820" t="s">
        <v>747</v>
      </c>
      <c r="X19" s="826" t="s">
        <v>27</v>
      </c>
      <c r="Y19" s="820" t="s">
        <v>753</v>
      </c>
    </row>
    <row r="20" spans="1:25" ht="95.25" customHeight="1">
      <c r="A20" s="303" t="s">
        <v>31</v>
      </c>
      <c r="B20" s="302" t="s">
        <v>530</v>
      </c>
      <c r="C20" s="820" t="s">
        <v>531</v>
      </c>
      <c r="D20" s="299">
        <v>20887047</v>
      </c>
      <c r="E20" s="820"/>
      <c r="F20" s="820" t="s">
        <v>532</v>
      </c>
      <c r="G20" s="282" t="s">
        <v>525</v>
      </c>
      <c r="H20" s="823" t="s">
        <v>533</v>
      </c>
      <c r="I20" s="960" t="s">
        <v>117</v>
      </c>
      <c r="J20" s="820" t="s">
        <v>534</v>
      </c>
      <c r="K20" s="820" t="s">
        <v>1671</v>
      </c>
      <c r="L20" s="293">
        <v>6.3360000000000003</v>
      </c>
      <c r="M20" s="820"/>
      <c r="N20" s="820"/>
      <c r="O20" s="850">
        <f>P20/(0.001*365*0.9)</f>
        <v>4361007.6103500761</v>
      </c>
      <c r="P20" s="327">
        <v>1432591</v>
      </c>
      <c r="Q20" s="935" t="s">
        <v>1444</v>
      </c>
      <c r="R20" s="820"/>
      <c r="S20" s="208">
        <f t="shared" si="0"/>
        <v>12768873.558300801</v>
      </c>
      <c r="T20" s="823"/>
      <c r="U20" s="823"/>
      <c r="V20" s="299">
        <v>604700</v>
      </c>
      <c r="W20" s="820" t="s">
        <v>535</v>
      </c>
      <c r="X20" s="826" t="s">
        <v>27</v>
      </c>
      <c r="Y20" s="820" t="s">
        <v>529</v>
      </c>
    </row>
    <row r="21" spans="1:25" s="832" customFormat="1" ht="115.5" customHeight="1">
      <c r="A21" s="785" t="s">
        <v>31</v>
      </c>
      <c r="B21" s="535" t="s">
        <v>537</v>
      </c>
      <c r="C21" s="827" t="s">
        <v>538</v>
      </c>
      <c r="D21" s="602">
        <v>2750000</v>
      </c>
      <c r="E21" s="827"/>
      <c r="F21" s="827" t="s">
        <v>539</v>
      </c>
      <c r="G21" s="829" t="s">
        <v>525</v>
      </c>
      <c r="H21" s="536">
        <v>41012</v>
      </c>
      <c r="I21" s="1208" t="s">
        <v>117</v>
      </c>
      <c r="J21" s="827" t="s">
        <v>540</v>
      </c>
      <c r="K21" s="827" t="s">
        <v>1672</v>
      </c>
      <c r="L21" s="786">
        <v>0.3024</v>
      </c>
      <c r="M21" s="786">
        <v>0.30959999999999999</v>
      </c>
      <c r="N21" s="786">
        <v>0.22</v>
      </c>
      <c r="O21" s="1211">
        <v>82800</v>
      </c>
      <c r="P21" s="288">
        <v>180000</v>
      </c>
      <c r="Q21" s="785" t="s">
        <v>1444</v>
      </c>
      <c r="R21" s="827"/>
      <c r="S21" s="288">
        <v>172000</v>
      </c>
      <c r="T21" s="350">
        <v>262800</v>
      </c>
      <c r="U21" s="309" t="s">
        <v>66</v>
      </c>
      <c r="V21" s="288">
        <v>24179</v>
      </c>
      <c r="W21" s="827" t="s">
        <v>1673</v>
      </c>
      <c r="X21" s="786" t="s">
        <v>27</v>
      </c>
      <c r="Y21" s="827" t="s">
        <v>536</v>
      </c>
    </row>
    <row r="22" spans="1:25" ht="76.5" customHeight="1">
      <c r="A22" s="280" t="s">
        <v>31</v>
      </c>
      <c r="B22" s="819" t="s">
        <v>542</v>
      </c>
      <c r="C22" s="820" t="s">
        <v>543</v>
      </c>
      <c r="D22" s="305" t="s">
        <v>1378</v>
      </c>
      <c r="E22" s="820"/>
      <c r="F22" s="820" t="s">
        <v>544</v>
      </c>
      <c r="G22" s="282" t="s">
        <v>212</v>
      </c>
      <c r="H22" s="283">
        <v>39022</v>
      </c>
      <c r="I22" s="956" t="s">
        <v>117</v>
      </c>
      <c r="J22" s="820" t="s">
        <v>545</v>
      </c>
      <c r="K22" s="820" t="s">
        <v>546</v>
      </c>
      <c r="L22" s="285">
        <v>2.0299999999999998</v>
      </c>
      <c r="M22" s="285">
        <v>2.0299999999999998</v>
      </c>
      <c r="N22" s="820"/>
      <c r="O22" s="821">
        <v>1105000</v>
      </c>
      <c r="P22" s="824">
        <v>360000</v>
      </c>
      <c r="Q22" s="280" t="s">
        <v>1443</v>
      </c>
      <c r="R22" s="820"/>
      <c r="S22" s="305"/>
      <c r="T22" s="823"/>
      <c r="U22" s="310"/>
      <c r="V22" s="281">
        <v>193700</v>
      </c>
      <c r="W22" s="209" t="s">
        <v>547</v>
      </c>
      <c r="X22" s="827" t="s">
        <v>27</v>
      </c>
      <c r="Y22" s="820" t="s">
        <v>541</v>
      </c>
    </row>
    <row r="23" spans="1:25" ht="37.5" customHeight="1">
      <c r="A23" s="785" t="s">
        <v>31</v>
      </c>
      <c r="B23" s="535" t="s">
        <v>549</v>
      </c>
      <c r="C23" s="827" t="s">
        <v>550</v>
      </c>
      <c r="D23" s="386">
        <v>21437070</v>
      </c>
      <c r="E23" s="827"/>
      <c r="F23" s="827" t="s">
        <v>244</v>
      </c>
      <c r="G23" s="829" t="s">
        <v>212</v>
      </c>
      <c r="H23" s="842" t="s">
        <v>551</v>
      </c>
      <c r="I23" s="957" t="s">
        <v>117</v>
      </c>
      <c r="J23" s="827" t="s">
        <v>552</v>
      </c>
      <c r="K23" s="827" t="s">
        <v>553</v>
      </c>
      <c r="L23" s="603">
        <v>0.14000000000000001</v>
      </c>
      <c r="M23" s="603">
        <v>6.12</v>
      </c>
      <c r="N23" s="603">
        <v>1.08</v>
      </c>
      <c r="O23" s="388">
        <f>L23*0.6*1000000</f>
        <v>84000</v>
      </c>
      <c r="P23" s="388">
        <f>O23*0.001*365*0.9</f>
        <v>27594</v>
      </c>
      <c r="Q23" s="785" t="s">
        <v>1444</v>
      </c>
      <c r="R23" s="827"/>
      <c r="S23" s="338">
        <f>500*365</f>
        <v>182500</v>
      </c>
      <c r="T23" s="338">
        <v>200750</v>
      </c>
      <c r="U23" s="309" t="s">
        <v>554</v>
      </c>
      <c r="V23" s="386">
        <v>134000</v>
      </c>
      <c r="W23" s="387" t="s">
        <v>555</v>
      </c>
      <c r="X23" s="827" t="s">
        <v>27</v>
      </c>
      <c r="Y23" s="376" t="s">
        <v>548</v>
      </c>
    </row>
    <row r="24" spans="1:25" ht="135" customHeight="1">
      <c r="A24" s="280" t="s">
        <v>31</v>
      </c>
      <c r="B24" s="819" t="s">
        <v>562</v>
      </c>
      <c r="C24" s="820" t="s">
        <v>563</v>
      </c>
      <c r="D24" s="281">
        <v>22047030</v>
      </c>
      <c r="E24" s="820"/>
      <c r="F24" s="820" t="s">
        <v>244</v>
      </c>
      <c r="G24" s="282" t="s">
        <v>212</v>
      </c>
      <c r="H24" s="1202">
        <v>41487</v>
      </c>
      <c r="I24" s="957" t="s">
        <v>117</v>
      </c>
      <c r="J24" s="820" t="s">
        <v>564</v>
      </c>
      <c r="K24" s="820" t="s">
        <v>565</v>
      </c>
      <c r="L24" s="285">
        <v>4.5999999999999996</v>
      </c>
      <c r="M24" s="285">
        <v>4.5999999999999996</v>
      </c>
      <c r="N24" s="820"/>
      <c r="O24" s="208">
        <f>P24/(0.001*365*0.9)</f>
        <v>1341108.0669710806</v>
      </c>
      <c r="P24" s="824">
        <v>440554</v>
      </c>
      <c r="Q24" s="280" t="s">
        <v>1445</v>
      </c>
      <c r="R24" s="820"/>
      <c r="S24" s="208">
        <f>P24/0.112194</f>
        <v>3926716.2236839761</v>
      </c>
      <c r="T24" s="823"/>
      <c r="U24" s="304" t="s">
        <v>66</v>
      </c>
      <c r="V24" s="386">
        <v>439000</v>
      </c>
      <c r="W24" s="820" t="s">
        <v>566</v>
      </c>
      <c r="X24" s="1222" t="s">
        <v>27</v>
      </c>
      <c r="Y24" s="820" t="s">
        <v>561</v>
      </c>
    </row>
    <row r="25" spans="1:25" ht="72.75" customHeight="1">
      <c r="A25" s="280" t="s">
        <v>31</v>
      </c>
      <c r="B25" s="774" t="s">
        <v>758</v>
      </c>
      <c r="C25" s="776" t="s">
        <v>759</v>
      </c>
      <c r="D25" s="838">
        <v>49927166</v>
      </c>
      <c r="E25" s="356"/>
      <c r="F25" s="356"/>
      <c r="G25" s="358" t="s">
        <v>212</v>
      </c>
      <c r="H25" s="1203" t="s">
        <v>51</v>
      </c>
      <c r="I25" s="957" t="s">
        <v>135</v>
      </c>
      <c r="J25" s="776" t="s">
        <v>760</v>
      </c>
      <c r="K25" s="776" t="s">
        <v>1379</v>
      </c>
      <c r="L25" s="601">
        <v>9.36</v>
      </c>
      <c r="M25" s="601">
        <v>11.755000000000001</v>
      </c>
      <c r="N25" s="601">
        <v>2.395</v>
      </c>
      <c r="O25" s="705">
        <f>P25/(0.001*365*0.9)</f>
        <v>3888888.8888888885</v>
      </c>
      <c r="P25" s="355">
        <f>3500*365</f>
        <v>1277500</v>
      </c>
      <c r="Q25" s="1214" t="s">
        <v>1443</v>
      </c>
      <c r="R25" s="702"/>
      <c r="S25" s="1465">
        <f>P25/0.112194</f>
        <v>11386526.908747349</v>
      </c>
      <c r="T25" s="1216"/>
      <c r="U25" s="357" t="s">
        <v>66</v>
      </c>
      <c r="V25" s="356"/>
      <c r="W25" s="1219" t="s">
        <v>1305</v>
      </c>
      <c r="X25" s="336" t="s">
        <v>27</v>
      </c>
      <c r="Y25" s="776" t="s">
        <v>757</v>
      </c>
    </row>
    <row r="26" spans="1:25" ht="87" customHeight="1">
      <c r="A26" s="280" t="s">
        <v>31</v>
      </c>
      <c r="B26" s="819" t="s">
        <v>568</v>
      </c>
      <c r="C26" s="820" t="s">
        <v>569</v>
      </c>
      <c r="D26" s="838">
        <v>12633975</v>
      </c>
      <c r="E26" s="822">
        <v>1400</v>
      </c>
      <c r="F26" s="820" t="s">
        <v>570</v>
      </c>
      <c r="G26" s="282" t="s">
        <v>212</v>
      </c>
      <c r="H26" s="283">
        <v>36161</v>
      </c>
      <c r="I26" s="957" t="s">
        <v>117</v>
      </c>
      <c r="J26" s="820" t="s">
        <v>571</v>
      </c>
      <c r="K26" s="822" t="s">
        <v>1387</v>
      </c>
      <c r="L26" s="601">
        <v>2.5</v>
      </c>
      <c r="M26" s="601">
        <v>2.5</v>
      </c>
      <c r="N26" s="820"/>
      <c r="O26" s="306">
        <v>1300000</v>
      </c>
      <c r="P26" s="821">
        <v>270877</v>
      </c>
      <c r="Q26" s="280" t="s">
        <v>1445</v>
      </c>
      <c r="R26" s="820"/>
      <c r="S26" s="821">
        <v>4161365</v>
      </c>
      <c r="T26" s="995">
        <v>6402100</v>
      </c>
      <c r="U26" s="548" t="s">
        <v>66</v>
      </c>
      <c r="V26" s="386">
        <v>238600</v>
      </c>
      <c r="W26" s="996" t="s">
        <v>572</v>
      </c>
      <c r="X26" s="827" t="s">
        <v>27</v>
      </c>
      <c r="Y26" s="820" t="s">
        <v>567</v>
      </c>
    </row>
    <row r="27" spans="1:25" ht="69.75" customHeight="1">
      <c r="A27" s="348" t="s">
        <v>31</v>
      </c>
      <c r="B27" s="819" t="s">
        <v>762</v>
      </c>
      <c r="C27" s="820" t="s">
        <v>1674</v>
      </c>
      <c r="D27" s="281">
        <v>4920175</v>
      </c>
      <c r="E27" s="821">
        <v>950</v>
      </c>
      <c r="F27" s="329"/>
      <c r="G27" s="331" t="s">
        <v>763</v>
      </c>
      <c r="H27" s="330"/>
      <c r="I27" s="957" t="s">
        <v>135</v>
      </c>
      <c r="J27" s="330" t="s">
        <v>764</v>
      </c>
      <c r="K27" s="820" t="s">
        <v>765</v>
      </c>
      <c r="L27" s="380">
        <v>2.6640000000000001</v>
      </c>
      <c r="M27" s="329"/>
      <c r="N27" s="329"/>
      <c r="O27" s="821">
        <v>1498500</v>
      </c>
      <c r="P27" s="821">
        <v>497355</v>
      </c>
      <c r="Q27" s="936" t="s">
        <v>1445</v>
      </c>
      <c r="R27" s="332"/>
      <c r="S27" s="1213">
        <f>P27/0.112194</f>
        <v>4432991.0690411255</v>
      </c>
      <c r="T27" s="330"/>
      <c r="U27" s="997" t="s">
        <v>39</v>
      </c>
      <c r="V27" s="704">
        <v>25382</v>
      </c>
      <c r="W27" s="330" t="s">
        <v>388</v>
      </c>
      <c r="X27" s="826" t="s">
        <v>27</v>
      </c>
      <c r="Y27" s="820" t="s">
        <v>761</v>
      </c>
    </row>
    <row r="28" spans="1:25" ht="90">
      <c r="A28" s="280" t="s">
        <v>31</v>
      </c>
      <c r="B28" s="819" t="s">
        <v>574</v>
      </c>
      <c r="C28" s="820" t="s">
        <v>575</v>
      </c>
      <c r="D28" s="323">
        <v>7517048</v>
      </c>
      <c r="E28" s="822">
        <v>1150</v>
      </c>
      <c r="F28" s="820" t="s">
        <v>576</v>
      </c>
      <c r="G28" s="282" t="s">
        <v>577</v>
      </c>
      <c r="H28" s="283">
        <v>40519</v>
      </c>
      <c r="I28" s="957" t="s">
        <v>117</v>
      </c>
      <c r="J28" s="820" t="s">
        <v>578</v>
      </c>
      <c r="K28" s="324" t="s">
        <v>579</v>
      </c>
      <c r="L28" s="285">
        <v>0.89500000000000002</v>
      </c>
      <c r="M28" s="285">
        <v>0.89500000000000002</v>
      </c>
      <c r="N28" s="820"/>
      <c r="O28" s="208">
        <f>L28*0.6*1000000</f>
        <v>537000</v>
      </c>
      <c r="P28" s="327">
        <f>O28*0.001*365*0.9</f>
        <v>176404.5</v>
      </c>
      <c r="Q28" s="933" t="s">
        <v>1445</v>
      </c>
      <c r="R28" s="822" t="s">
        <v>1292</v>
      </c>
      <c r="S28" s="208">
        <f>P28/0.112194</f>
        <v>1572316.7014278837</v>
      </c>
      <c r="T28" s="533"/>
      <c r="U28" s="309" t="s">
        <v>66</v>
      </c>
      <c r="V28" s="993">
        <v>86900</v>
      </c>
      <c r="W28" s="285" t="s">
        <v>580</v>
      </c>
      <c r="X28" s="826" t="s">
        <v>27</v>
      </c>
      <c r="Y28" s="820" t="s">
        <v>573</v>
      </c>
    </row>
    <row r="29" spans="1:25" ht="86.25" customHeight="1">
      <c r="A29" s="202" t="s">
        <v>31</v>
      </c>
      <c r="B29" s="296" t="s">
        <v>503</v>
      </c>
      <c r="C29" s="200" t="s">
        <v>504</v>
      </c>
      <c r="D29" s="207"/>
      <c r="E29" s="200"/>
      <c r="F29" s="200"/>
      <c r="G29" s="203" t="s">
        <v>81</v>
      </c>
      <c r="H29" s="297"/>
      <c r="I29" s="958" t="s">
        <v>117</v>
      </c>
      <c r="J29" s="200" t="s">
        <v>505</v>
      </c>
      <c r="K29" s="200" t="s">
        <v>506</v>
      </c>
      <c r="L29" s="200"/>
      <c r="M29" s="200"/>
      <c r="N29" s="200"/>
      <c r="O29" s="207"/>
      <c r="P29" s="207"/>
      <c r="Q29" s="202" t="s">
        <v>1443</v>
      </c>
      <c r="R29" s="200"/>
      <c r="S29" s="207"/>
      <c r="T29" s="207"/>
      <c r="U29" s="994"/>
      <c r="V29" s="200"/>
      <c r="W29" s="200" t="s">
        <v>507</v>
      </c>
      <c r="X29" s="298"/>
      <c r="Y29" s="200" t="s">
        <v>502</v>
      </c>
    </row>
    <row r="30" spans="1:25" ht="80.25" customHeight="1">
      <c r="A30" s="348" t="s">
        <v>31</v>
      </c>
      <c r="B30" s="347" t="s">
        <v>767</v>
      </c>
      <c r="C30" s="289" t="s">
        <v>768</v>
      </c>
      <c r="D30" s="821">
        <v>6425604</v>
      </c>
      <c r="E30" s="289">
        <v>1900</v>
      </c>
      <c r="F30" s="289" t="s">
        <v>664</v>
      </c>
      <c r="G30" s="291" t="s">
        <v>225</v>
      </c>
      <c r="H30" s="294">
        <v>2018</v>
      </c>
      <c r="I30" s="961" t="s">
        <v>117</v>
      </c>
      <c r="J30" s="289" t="s">
        <v>769</v>
      </c>
      <c r="K30" s="820" t="s">
        <v>1258</v>
      </c>
      <c r="L30" s="301">
        <v>1.44</v>
      </c>
      <c r="M30" s="314"/>
      <c r="N30" s="314"/>
      <c r="O30" s="604">
        <f>P30/(365*0.001*0.9)</f>
        <v>529680.36529680365</v>
      </c>
      <c r="P30" s="562">
        <v>174000</v>
      </c>
      <c r="Q30" s="934" t="s">
        <v>1445</v>
      </c>
      <c r="R30" s="315"/>
      <c r="S30" s="1466">
        <f>P30/0.112194</f>
        <v>1550885.0740681319</v>
      </c>
      <c r="T30" s="314"/>
      <c r="U30" s="314"/>
      <c r="V30" s="314"/>
      <c r="W30" s="822" t="s">
        <v>770</v>
      </c>
      <c r="X30" s="566"/>
      <c r="Y30" s="820" t="s">
        <v>766</v>
      </c>
    </row>
    <row r="31" spans="1:25" s="832" customFormat="1" ht="69.75" customHeight="1">
      <c r="A31" s="389" t="s">
        <v>31</v>
      </c>
      <c r="B31" s="819" t="s">
        <v>1545</v>
      </c>
      <c r="C31" s="820" t="s">
        <v>583</v>
      </c>
      <c r="D31" s="323">
        <v>5224710</v>
      </c>
      <c r="E31" s="820"/>
      <c r="F31" s="820" t="s">
        <v>584</v>
      </c>
      <c r="G31" s="282" t="s">
        <v>225</v>
      </c>
      <c r="H31" s="283"/>
      <c r="I31" s="961" t="s">
        <v>117</v>
      </c>
      <c r="J31" s="820" t="s">
        <v>585</v>
      </c>
      <c r="K31" s="576" t="s">
        <v>586</v>
      </c>
      <c r="L31" s="847"/>
      <c r="M31" s="820"/>
      <c r="N31" s="820"/>
      <c r="O31" s="327">
        <f>P31/(0.001*365*0.9)</f>
        <v>436309.99999999994</v>
      </c>
      <c r="P31" s="327">
        <f>S31*0.112194</f>
        <v>143327.83499999999</v>
      </c>
      <c r="Q31" s="280" t="s">
        <v>1445</v>
      </c>
      <c r="R31" s="820"/>
      <c r="S31" s="325">
        <v>1277500</v>
      </c>
      <c r="T31" s="823"/>
      <c r="U31" s="823" t="s">
        <v>66</v>
      </c>
      <c r="V31" s="820"/>
      <c r="W31" s="826" t="s">
        <v>587</v>
      </c>
      <c r="X31" s="827" t="s">
        <v>27</v>
      </c>
      <c r="Y31" s="376" t="s">
        <v>581</v>
      </c>
    </row>
    <row r="32" spans="1:25" ht="163.5">
      <c r="A32" s="280" t="s">
        <v>31</v>
      </c>
      <c r="B32" s="819" t="s">
        <v>1546</v>
      </c>
      <c r="C32" s="820" t="s">
        <v>1232</v>
      </c>
      <c r="D32" s="281">
        <v>3914719</v>
      </c>
      <c r="E32" s="820" t="s">
        <v>1208</v>
      </c>
      <c r="F32" s="330" t="s">
        <v>869</v>
      </c>
      <c r="G32" s="331" t="s">
        <v>225</v>
      </c>
      <c r="H32" s="330" t="s">
        <v>775</v>
      </c>
      <c r="I32" s="961" t="s">
        <v>117</v>
      </c>
      <c r="J32" s="820" t="s">
        <v>868</v>
      </c>
      <c r="K32" s="376" t="s">
        <v>1233</v>
      </c>
      <c r="L32" s="285">
        <v>2.16</v>
      </c>
      <c r="M32" s="329">
        <v>2.16</v>
      </c>
      <c r="N32" s="329">
        <v>0</v>
      </c>
      <c r="O32" s="208">
        <f>2.16*0.6*1000000</f>
        <v>1296000</v>
      </c>
      <c r="P32" s="208">
        <f>O32*(0.001*0.9*365)</f>
        <v>425736</v>
      </c>
      <c r="Q32" s="280" t="s">
        <v>1444</v>
      </c>
      <c r="R32" s="332" t="s">
        <v>1234</v>
      </c>
      <c r="S32" s="821">
        <f>P32/0.112194</f>
        <v>3794641.4246751163</v>
      </c>
      <c r="T32" s="821" t="s">
        <v>168</v>
      </c>
      <c r="U32" s="821" t="s">
        <v>168</v>
      </c>
      <c r="V32" s="821" t="s">
        <v>168</v>
      </c>
      <c r="W32" s="1477" t="s">
        <v>174</v>
      </c>
      <c r="X32" s="827" t="s">
        <v>27</v>
      </c>
      <c r="Y32" s="820" t="s">
        <v>1209</v>
      </c>
    </row>
    <row r="33" spans="1:25" ht="59.25" customHeight="1">
      <c r="A33" s="785" t="s">
        <v>31</v>
      </c>
      <c r="B33" s="819" t="s">
        <v>589</v>
      </c>
      <c r="C33" s="820" t="s">
        <v>590</v>
      </c>
      <c r="D33" s="281">
        <v>135450945</v>
      </c>
      <c r="E33" s="820" t="s">
        <v>591</v>
      </c>
      <c r="F33" s="820" t="s">
        <v>592</v>
      </c>
      <c r="G33" s="282" t="s">
        <v>593</v>
      </c>
      <c r="H33" s="311">
        <v>1982</v>
      </c>
      <c r="I33" s="961" t="s">
        <v>117</v>
      </c>
      <c r="J33" s="820" t="s">
        <v>594</v>
      </c>
      <c r="K33" s="820" t="s">
        <v>595</v>
      </c>
      <c r="L33" s="821">
        <v>3</v>
      </c>
      <c r="M33" s="821">
        <v>3</v>
      </c>
      <c r="N33" s="820"/>
      <c r="O33" s="821">
        <v>1500000</v>
      </c>
      <c r="P33" s="824">
        <v>474119</v>
      </c>
      <c r="Q33" s="280" t="s">
        <v>1443</v>
      </c>
      <c r="R33" s="820"/>
      <c r="S33" s="208">
        <f>P33/0.112194</f>
        <v>4225885.5197247621</v>
      </c>
      <c r="T33" s="823"/>
      <c r="U33" s="304" t="s">
        <v>66</v>
      </c>
      <c r="V33" s="288">
        <v>288560</v>
      </c>
      <c r="W33" s="826" t="s">
        <v>596</v>
      </c>
      <c r="X33" s="827" t="s">
        <v>27</v>
      </c>
      <c r="Y33" s="820" t="s">
        <v>588</v>
      </c>
    </row>
    <row r="34" spans="1:25" ht="109.5">
      <c r="A34" s="280" t="s">
        <v>31</v>
      </c>
      <c r="B34" s="819" t="s">
        <v>598</v>
      </c>
      <c r="C34" s="820" t="s">
        <v>599</v>
      </c>
      <c r="D34" s="281">
        <v>42870286</v>
      </c>
      <c r="E34" s="820"/>
      <c r="F34" s="820" t="s">
        <v>600</v>
      </c>
      <c r="G34" s="282" t="s">
        <v>593</v>
      </c>
      <c r="H34" s="283">
        <v>41701</v>
      </c>
      <c r="I34" s="961" t="s">
        <v>117</v>
      </c>
      <c r="J34" s="820" t="s">
        <v>601</v>
      </c>
      <c r="K34" s="326" t="s">
        <v>602</v>
      </c>
      <c r="L34" s="285">
        <v>4.32</v>
      </c>
      <c r="M34" s="820"/>
      <c r="N34" s="820"/>
      <c r="O34" s="404">
        <f>P34/(0.001*365*0.9)</f>
        <v>3245546.4231354641</v>
      </c>
      <c r="P34" s="857">
        <v>1066162</v>
      </c>
      <c r="Q34" s="280" t="s">
        <v>1443</v>
      </c>
      <c r="R34" s="820"/>
      <c r="S34" s="208">
        <f>P34/0.112194</f>
        <v>9502843.289302459</v>
      </c>
      <c r="T34" s="823"/>
      <c r="U34" s="823" t="s">
        <v>603</v>
      </c>
      <c r="V34" s="281">
        <v>412300</v>
      </c>
      <c r="W34" s="820" t="s">
        <v>604</v>
      </c>
      <c r="X34" s="826" t="s">
        <v>27</v>
      </c>
      <c r="Y34" s="820" t="s">
        <v>597</v>
      </c>
    </row>
    <row r="35" spans="1:25" ht="78" customHeight="1">
      <c r="A35" s="303" t="s">
        <v>31</v>
      </c>
      <c r="B35" s="302" t="s">
        <v>606</v>
      </c>
      <c r="C35" s="820" t="s">
        <v>607</v>
      </c>
      <c r="D35" s="281">
        <v>33329754</v>
      </c>
      <c r="E35" s="329">
        <v>920</v>
      </c>
      <c r="F35" s="329"/>
      <c r="G35" s="331" t="s">
        <v>43</v>
      </c>
      <c r="H35" s="311">
        <v>2014</v>
      </c>
      <c r="I35" s="962" t="s">
        <v>117</v>
      </c>
      <c r="J35" s="329" t="s">
        <v>1301</v>
      </c>
      <c r="K35" s="329"/>
      <c r="L35" s="293">
        <v>4.0999999999999996</v>
      </c>
      <c r="M35" s="820"/>
      <c r="N35" s="820"/>
      <c r="O35" s="1213">
        <v>2016000</v>
      </c>
      <c r="P35" s="824">
        <f>O35*0.001*365*0.9</f>
        <v>662256</v>
      </c>
      <c r="Q35" s="1492" t="s">
        <v>1444</v>
      </c>
      <c r="R35" s="332"/>
      <c r="S35" s="208">
        <f>P35/0.112194</f>
        <v>5902775.5494946251</v>
      </c>
      <c r="T35" s="329"/>
      <c r="U35" s="329"/>
      <c r="V35" s="281">
        <v>391300</v>
      </c>
      <c r="W35" s="826" t="s">
        <v>1302</v>
      </c>
      <c r="X35" s="827" t="s">
        <v>27</v>
      </c>
      <c r="Y35" s="820" t="s">
        <v>605</v>
      </c>
    </row>
    <row r="36" spans="1:25" ht="61.5" customHeight="1">
      <c r="A36" s="383" t="s">
        <v>31</v>
      </c>
      <c r="B36" s="302" t="s">
        <v>773</v>
      </c>
      <c r="C36" s="820" t="s">
        <v>774</v>
      </c>
      <c r="D36" s="281">
        <v>15622508</v>
      </c>
      <c r="E36" s="821">
        <v>4000</v>
      </c>
      <c r="F36" s="820" t="s">
        <v>532</v>
      </c>
      <c r="G36" s="282" t="s">
        <v>43</v>
      </c>
      <c r="H36" s="384" t="s">
        <v>775</v>
      </c>
      <c r="I36" s="956" t="s">
        <v>135</v>
      </c>
      <c r="J36" s="820" t="s">
        <v>776</v>
      </c>
      <c r="K36" s="820" t="s">
        <v>777</v>
      </c>
      <c r="L36" s="285">
        <v>2.11</v>
      </c>
      <c r="M36" s="820"/>
      <c r="N36" s="820"/>
      <c r="O36" s="821">
        <v>2680000</v>
      </c>
      <c r="P36" s="824">
        <v>855290</v>
      </c>
      <c r="Q36" s="933" t="s">
        <v>1444</v>
      </c>
      <c r="R36" s="385"/>
      <c r="S36" s="821">
        <v>6842300</v>
      </c>
      <c r="T36" s="821" t="s">
        <v>1380</v>
      </c>
      <c r="U36" s="304"/>
      <c r="V36" s="821">
        <v>393051</v>
      </c>
      <c r="W36" s="820"/>
      <c r="X36" s="827" t="s">
        <v>27</v>
      </c>
      <c r="Y36" s="820" t="s">
        <v>772</v>
      </c>
    </row>
    <row r="37" spans="1:25" ht="59.25" customHeight="1">
      <c r="A37" s="280" t="s">
        <v>31</v>
      </c>
      <c r="B37" s="819" t="s">
        <v>609</v>
      </c>
      <c r="C37" s="820" t="s">
        <v>610</v>
      </c>
      <c r="D37" s="281">
        <v>23149586</v>
      </c>
      <c r="E37" s="820"/>
      <c r="F37" s="820" t="s">
        <v>306</v>
      </c>
      <c r="G37" s="282" t="s">
        <v>43</v>
      </c>
      <c r="H37" s="283">
        <v>41671</v>
      </c>
      <c r="I37" s="961" t="s">
        <v>117</v>
      </c>
      <c r="J37" s="820" t="s">
        <v>611</v>
      </c>
      <c r="K37" s="820" t="s">
        <v>612</v>
      </c>
      <c r="L37" s="822">
        <v>8.64</v>
      </c>
      <c r="M37" s="820"/>
      <c r="N37" s="820"/>
      <c r="O37" s="1213">
        <f>L37*0.6*1000000</f>
        <v>5184000</v>
      </c>
      <c r="P37" s="327">
        <f>O37*0.001*365*0.9</f>
        <v>1702944</v>
      </c>
      <c r="Q37" s="280" t="s">
        <v>1444</v>
      </c>
      <c r="R37" s="820"/>
      <c r="S37" s="208">
        <f>P37/0.112194</f>
        <v>15178565.698700465</v>
      </c>
      <c r="T37" s="333"/>
      <c r="U37" s="823"/>
      <c r="V37" s="281">
        <v>648900</v>
      </c>
      <c r="W37" s="826" t="s">
        <v>613</v>
      </c>
      <c r="X37" s="827" t="s">
        <v>27</v>
      </c>
      <c r="Y37" s="820" t="s">
        <v>608</v>
      </c>
    </row>
    <row r="38" spans="1:25" ht="83.25" customHeight="1">
      <c r="A38" s="280" t="s">
        <v>31</v>
      </c>
      <c r="B38" s="819" t="s">
        <v>1548</v>
      </c>
      <c r="C38" s="820" t="s">
        <v>627</v>
      </c>
      <c r="D38" s="281">
        <v>6150000</v>
      </c>
      <c r="E38" s="822" t="s">
        <v>616</v>
      </c>
      <c r="F38" s="820" t="s">
        <v>444</v>
      </c>
      <c r="G38" s="282" t="s">
        <v>43</v>
      </c>
      <c r="H38" s="283">
        <v>37742</v>
      </c>
      <c r="I38" s="962" t="s">
        <v>117</v>
      </c>
      <c r="J38" s="820" t="s">
        <v>617</v>
      </c>
      <c r="K38" s="820" t="s">
        <v>1388</v>
      </c>
      <c r="L38" s="335">
        <v>2</v>
      </c>
      <c r="M38" s="820"/>
      <c r="N38" s="820"/>
      <c r="O38" s="562">
        <v>390000</v>
      </c>
      <c r="P38" s="562">
        <v>746775</v>
      </c>
      <c r="Q38" s="280" t="s">
        <v>1443</v>
      </c>
      <c r="R38" s="820"/>
      <c r="S38" s="562">
        <v>1248409.5</v>
      </c>
      <c r="T38" s="824">
        <v>1920000</v>
      </c>
      <c r="U38" s="823" t="s">
        <v>66</v>
      </c>
      <c r="V38" s="281">
        <v>127500</v>
      </c>
      <c r="W38" s="285" t="s">
        <v>1360</v>
      </c>
      <c r="X38" s="827" t="s">
        <v>27</v>
      </c>
      <c r="Y38" s="334" t="s">
        <v>614</v>
      </c>
    </row>
    <row r="39" spans="1:25" ht="99.75" customHeight="1">
      <c r="A39" s="280" t="s">
        <v>31</v>
      </c>
      <c r="B39" s="819" t="s">
        <v>619</v>
      </c>
      <c r="C39" s="820" t="s">
        <v>620</v>
      </c>
      <c r="D39" s="281">
        <v>58569482</v>
      </c>
      <c r="E39" s="820"/>
      <c r="F39" s="820" t="s">
        <v>621</v>
      </c>
      <c r="G39" s="282" t="s">
        <v>43</v>
      </c>
      <c r="H39" s="823" t="s">
        <v>622</v>
      </c>
      <c r="I39" s="956" t="s">
        <v>117</v>
      </c>
      <c r="J39" s="820" t="s">
        <v>623</v>
      </c>
      <c r="K39" s="820" t="s">
        <v>1300</v>
      </c>
      <c r="L39" s="285">
        <v>15</v>
      </c>
      <c r="M39" s="820"/>
      <c r="N39" s="820"/>
      <c r="O39" s="208">
        <f>P39/(0.001*365*0.9)</f>
        <v>4717677.3211567728</v>
      </c>
      <c r="P39" s="821">
        <v>1549757</v>
      </c>
      <c r="Q39" s="280" t="s">
        <v>1443</v>
      </c>
      <c r="R39" s="820"/>
      <c r="S39" s="208">
        <f t="shared" ref="S39:S51" si="1">P39/0.112194</f>
        <v>13813189.653635666</v>
      </c>
      <c r="T39" s="823"/>
      <c r="U39" s="823"/>
      <c r="V39" s="281">
        <v>1431500</v>
      </c>
      <c r="W39" s="820" t="s">
        <v>624</v>
      </c>
      <c r="X39" s="827" t="s">
        <v>27</v>
      </c>
      <c r="Y39" s="820" t="s">
        <v>618</v>
      </c>
    </row>
    <row r="40" spans="1:25" ht="78" customHeight="1">
      <c r="A40" s="280" t="s">
        <v>31</v>
      </c>
      <c r="B40" s="819" t="s">
        <v>626</v>
      </c>
      <c r="C40" s="820" t="s">
        <v>627</v>
      </c>
      <c r="D40" s="281">
        <v>11582717</v>
      </c>
      <c r="E40" s="822">
        <v>650</v>
      </c>
      <c r="F40" s="820" t="s">
        <v>444</v>
      </c>
      <c r="G40" s="282" t="s">
        <v>43</v>
      </c>
      <c r="H40" s="337">
        <v>37742</v>
      </c>
      <c r="I40" s="962" t="s">
        <v>117</v>
      </c>
      <c r="J40" s="820" t="s">
        <v>617</v>
      </c>
      <c r="K40" s="376" t="s">
        <v>628</v>
      </c>
      <c r="L40" s="285">
        <v>2.6720000000000002</v>
      </c>
      <c r="M40" s="285">
        <v>4.2830000000000004</v>
      </c>
      <c r="N40" s="820"/>
      <c r="O40" s="208">
        <f>P40/(365*0.001*0.9)</f>
        <v>530432.26788432267</v>
      </c>
      <c r="P40" s="821">
        <v>174247</v>
      </c>
      <c r="Q40" s="280" t="s">
        <v>1443</v>
      </c>
      <c r="R40" s="820"/>
      <c r="S40" s="208">
        <f t="shared" si="1"/>
        <v>1553086.6178226999</v>
      </c>
      <c r="T40" s="823"/>
      <c r="U40" s="823"/>
      <c r="V40" s="305">
        <v>128510</v>
      </c>
      <c r="W40" s="344" t="s">
        <v>1360</v>
      </c>
      <c r="X40" s="827"/>
      <c r="Y40" s="820" t="s">
        <v>625</v>
      </c>
    </row>
    <row r="41" spans="1:25" ht="58.5" customHeight="1">
      <c r="A41" s="280" t="s">
        <v>31</v>
      </c>
      <c r="B41" s="819" t="s">
        <v>630</v>
      </c>
      <c r="C41" s="820" t="s">
        <v>631</v>
      </c>
      <c r="D41" s="281">
        <v>12785084</v>
      </c>
      <c r="E41" s="820"/>
      <c r="F41" s="820" t="s">
        <v>632</v>
      </c>
      <c r="G41" s="282" t="s">
        <v>343</v>
      </c>
      <c r="H41" s="311" t="s">
        <v>633</v>
      </c>
      <c r="I41" s="962" t="s">
        <v>117</v>
      </c>
      <c r="J41" s="820" t="s">
        <v>634</v>
      </c>
      <c r="K41" s="820" t="s">
        <v>635</v>
      </c>
      <c r="L41" s="822">
        <f>6000*60*24/1000000</f>
        <v>8.64</v>
      </c>
      <c r="M41" s="820"/>
      <c r="N41" s="820"/>
      <c r="O41" s="208">
        <f>L41*0.6*1000000</f>
        <v>5184000</v>
      </c>
      <c r="P41" s="824">
        <f t="shared" ref="P41:P46" si="2">O41*0.001*365*0.9</f>
        <v>1702944</v>
      </c>
      <c r="Q41" s="280" t="s">
        <v>1445</v>
      </c>
      <c r="R41" s="820"/>
      <c r="S41" s="208">
        <f t="shared" si="1"/>
        <v>15178565.698700465</v>
      </c>
      <c r="T41" s="823"/>
      <c r="U41" s="310"/>
      <c r="V41" s="281">
        <v>302300</v>
      </c>
      <c r="W41" s="281" t="s">
        <v>1306</v>
      </c>
      <c r="X41" s="827" t="s">
        <v>27</v>
      </c>
      <c r="Y41" s="820" t="s">
        <v>629</v>
      </c>
    </row>
    <row r="42" spans="1:25" ht="51.75" customHeight="1">
      <c r="A42" s="280" t="s">
        <v>31</v>
      </c>
      <c r="B42" s="819" t="s">
        <v>779</v>
      </c>
      <c r="C42" s="289" t="s">
        <v>1259</v>
      </c>
      <c r="D42" s="854">
        <v>18709425</v>
      </c>
      <c r="E42" s="329">
        <v>1500</v>
      </c>
      <c r="F42" s="329"/>
      <c r="G42" s="282" t="s">
        <v>343</v>
      </c>
      <c r="H42" s="825">
        <v>2018</v>
      </c>
      <c r="I42" s="962" t="s">
        <v>117</v>
      </c>
      <c r="J42" s="289" t="s">
        <v>1256</v>
      </c>
      <c r="K42" s="820" t="s">
        <v>1260</v>
      </c>
      <c r="L42" s="822">
        <f>3000*60*24/1000000</f>
        <v>4.32</v>
      </c>
      <c r="M42" s="329"/>
      <c r="N42" s="329"/>
      <c r="O42" s="208">
        <f>L42*0.6*1000000</f>
        <v>2592000</v>
      </c>
      <c r="P42" s="208">
        <f t="shared" si="2"/>
        <v>851472</v>
      </c>
      <c r="Q42" s="937" t="s">
        <v>1444</v>
      </c>
      <c r="R42" s="305"/>
      <c r="S42" s="208">
        <f t="shared" si="1"/>
        <v>7589282.8493502326</v>
      </c>
      <c r="T42" s="329"/>
      <c r="U42" s="329"/>
      <c r="V42" s="329"/>
      <c r="W42" s="820" t="s">
        <v>1675</v>
      </c>
      <c r="X42" s="826"/>
      <c r="Y42" s="820" t="s">
        <v>778</v>
      </c>
    </row>
    <row r="43" spans="1:25" ht="39" customHeight="1">
      <c r="A43" s="1199" t="s">
        <v>31</v>
      </c>
      <c r="B43" s="296" t="s">
        <v>1390</v>
      </c>
      <c r="C43" s="200" t="s">
        <v>1391</v>
      </c>
      <c r="D43" s="281">
        <v>3877118</v>
      </c>
      <c r="E43" s="369"/>
      <c r="F43" s="370"/>
      <c r="G43" s="371" t="s">
        <v>343</v>
      </c>
      <c r="H43" s="1201">
        <v>43282</v>
      </c>
      <c r="I43" s="1207" t="s">
        <v>117</v>
      </c>
      <c r="J43" s="369" t="s">
        <v>1392</v>
      </c>
      <c r="K43" s="369" t="s">
        <v>1393</v>
      </c>
      <c r="L43" s="562">
        <f>1000*60*24</f>
        <v>1440000</v>
      </c>
      <c r="M43" s="200"/>
      <c r="N43" s="369"/>
      <c r="O43" s="1210">
        <f>550*60*24</f>
        <v>792000</v>
      </c>
      <c r="P43" s="1213">
        <f t="shared" si="2"/>
        <v>260172</v>
      </c>
      <c r="Q43" s="1475" t="s">
        <v>1443</v>
      </c>
      <c r="R43" s="372" t="s">
        <v>38</v>
      </c>
      <c r="S43" s="1210">
        <f t="shared" si="1"/>
        <v>2318947.5373014598</v>
      </c>
      <c r="T43" s="369"/>
      <c r="U43" s="369"/>
      <c r="V43" s="1218">
        <v>105000</v>
      </c>
      <c r="W43" s="369" t="s">
        <v>1395</v>
      </c>
      <c r="X43" s="1476" t="s">
        <v>27</v>
      </c>
      <c r="Y43" s="201" t="s">
        <v>1394</v>
      </c>
    </row>
    <row r="44" spans="1:25" ht="95.25" customHeight="1">
      <c r="A44" s="280" t="s">
        <v>31</v>
      </c>
      <c r="B44" s="819" t="s">
        <v>649</v>
      </c>
      <c r="C44" s="820" t="s">
        <v>650</v>
      </c>
      <c r="D44" s="281">
        <v>23303465</v>
      </c>
      <c r="E44" s="822">
        <v>2200</v>
      </c>
      <c r="F44" s="820" t="s">
        <v>651</v>
      </c>
      <c r="G44" s="282" t="s">
        <v>387</v>
      </c>
      <c r="H44" s="283">
        <v>39264</v>
      </c>
      <c r="I44" s="962" t="s">
        <v>117</v>
      </c>
      <c r="J44" s="820" t="s">
        <v>652</v>
      </c>
      <c r="K44" s="820" t="s">
        <v>653</v>
      </c>
      <c r="L44" s="285">
        <v>8.4</v>
      </c>
      <c r="M44" s="820"/>
      <c r="N44" s="820"/>
      <c r="O44" s="821">
        <v>2880000</v>
      </c>
      <c r="P44" s="208">
        <f t="shared" si="2"/>
        <v>946080</v>
      </c>
      <c r="Q44" s="280" t="s">
        <v>1443</v>
      </c>
      <c r="R44" s="820"/>
      <c r="S44" s="208">
        <f t="shared" si="1"/>
        <v>8432536.4992780369</v>
      </c>
      <c r="T44" s="824">
        <v>11000000</v>
      </c>
      <c r="U44" s="823" t="s">
        <v>654</v>
      </c>
      <c r="V44" s="281">
        <v>808000</v>
      </c>
      <c r="W44" s="608" t="s">
        <v>1307</v>
      </c>
      <c r="X44" s="826"/>
      <c r="Y44" s="820" t="s">
        <v>648</v>
      </c>
    </row>
    <row r="45" spans="1:25" ht="73.5">
      <c r="A45" s="280" t="s">
        <v>31</v>
      </c>
      <c r="B45" s="819" t="s">
        <v>656</v>
      </c>
      <c r="C45" s="820" t="s">
        <v>657</v>
      </c>
      <c r="D45" s="281">
        <v>22181194</v>
      </c>
      <c r="E45" s="820"/>
      <c r="F45" s="820" t="s">
        <v>644</v>
      </c>
      <c r="G45" s="282" t="s">
        <v>387</v>
      </c>
      <c r="H45" s="283">
        <v>39326</v>
      </c>
      <c r="I45" s="962" t="s">
        <v>117</v>
      </c>
      <c r="J45" s="820" t="s">
        <v>658</v>
      </c>
      <c r="K45" s="820" t="s">
        <v>1676</v>
      </c>
      <c r="L45" s="570">
        <v>4.2</v>
      </c>
      <c r="M45" s="285">
        <v>10.3</v>
      </c>
      <c r="N45" s="285">
        <v>6.1</v>
      </c>
      <c r="O45" s="208">
        <f>L45*0.6*1000000</f>
        <v>2520000</v>
      </c>
      <c r="P45" s="208">
        <f t="shared" si="2"/>
        <v>827820</v>
      </c>
      <c r="Q45" s="937" t="s">
        <v>1443</v>
      </c>
      <c r="R45" s="305"/>
      <c r="S45" s="208">
        <f t="shared" si="1"/>
        <v>7378469.436868282</v>
      </c>
      <c r="T45" s="305"/>
      <c r="U45" s="305" t="s">
        <v>659</v>
      </c>
      <c r="V45" s="281">
        <v>403980</v>
      </c>
      <c r="W45" s="110" t="s">
        <v>660</v>
      </c>
      <c r="X45" s="826"/>
      <c r="Y45" s="820" t="s">
        <v>655</v>
      </c>
    </row>
    <row r="46" spans="1:25" ht="84.75" customHeight="1">
      <c r="A46" s="389" t="s">
        <v>31</v>
      </c>
      <c r="B46" s="377" t="s">
        <v>637</v>
      </c>
      <c r="C46" s="376" t="s">
        <v>638</v>
      </c>
      <c r="D46" s="379">
        <v>7456121</v>
      </c>
      <c r="E46" s="391">
        <v>7</v>
      </c>
      <c r="F46" s="376" t="s">
        <v>639</v>
      </c>
      <c r="G46" s="390" t="s">
        <v>387</v>
      </c>
      <c r="H46" s="397">
        <v>38899</v>
      </c>
      <c r="I46" s="962" t="s">
        <v>117</v>
      </c>
      <c r="J46" s="376" t="s">
        <v>640</v>
      </c>
      <c r="K46" s="376" t="s">
        <v>1677</v>
      </c>
      <c r="L46" s="570">
        <v>2.93</v>
      </c>
      <c r="M46" s="570">
        <v>2.93</v>
      </c>
      <c r="N46" s="376">
        <v>0</v>
      </c>
      <c r="O46" s="404">
        <f>L46*0.6*1000000</f>
        <v>1758000</v>
      </c>
      <c r="P46" s="851">
        <f t="shared" si="2"/>
        <v>577503</v>
      </c>
      <c r="Q46" s="280" t="s">
        <v>1443</v>
      </c>
      <c r="R46" s="376"/>
      <c r="S46" s="404">
        <f t="shared" si="1"/>
        <v>5147360.8214343013</v>
      </c>
      <c r="T46" s="346"/>
      <c r="U46" s="346" t="s">
        <v>66</v>
      </c>
      <c r="V46" s="379">
        <v>279600</v>
      </c>
      <c r="W46" s="353" t="s">
        <v>641</v>
      </c>
      <c r="X46" s="827" t="s">
        <v>27</v>
      </c>
      <c r="Y46" s="820" t="s">
        <v>636</v>
      </c>
    </row>
    <row r="47" spans="1:25" ht="39.75" customHeight="1">
      <c r="A47" s="280" t="s">
        <v>31</v>
      </c>
      <c r="B47" s="819" t="s">
        <v>643</v>
      </c>
      <c r="C47" s="820" t="s">
        <v>497</v>
      </c>
      <c r="D47" s="281">
        <v>18407824</v>
      </c>
      <c r="E47" s="820"/>
      <c r="F47" s="820" t="s">
        <v>644</v>
      </c>
      <c r="G47" s="282" t="s">
        <v>387</v>
      </c>
      <c r="H47" s="283">
        <v>38289</v>
      </c>
      <c r="I47" s="962" t="s">
        <v>117</v>
      </c>
      <c r="J47" s="820" t="s">
        <v>645</v>
      </c>
      <c r="K47" s="820" t="s">
        <v>646</v>
      </c>
      <c r="L47" s="285">
        <v>2.48</v>
      </c>
      <c r="M47" s="285">
        <v>3.87</v>
      </c>
      <c r="N47" s="820"/>
      <c r="O47" s="208">
        <f>P47/(365*0.001*0.9)</f>
        <v>1091336.3774733637</v>
      </c>
      <c r="P47" s="824">
        <v>358504</v>
      </c>
      <c r="Q47" s="280" t="s">
        <v>1443</v>
      </c>
      <c r="R47" s="820"/>
      <c r="S47" s="208">
        <f t="shared" si="1"/>
        <v>3195393.6930673653</v>
      </c>
      <c r="T47" s="823"/>
      <c r="U47" s="823"/>
      <c r="V47" s="281">
        <v>236700</v>
      </c>
      <c r="W47" s="285" t="s">
        <v>647</v>
      </c>
      <c r="X47" s="827" t="s">
        <v>27</v>
      </c>
      <c r="Y47" s="820" t="s">
        <v>642</v>
      </c>
    </row>
    <row r="48" spans="1:25" ht="85.5" customHeight="1">
      <c r="A48" s="280" t="s">
        <v>31</v>
      </c>
      <c r="B48" s="819" t="s">
        <v>662</v>
      </c>
      <c r="C48" s="820" t="s">
        <v>663</v>
      </c>
      <c r="D48" s="281">
        <v>10457408</v>
      </c>
      <c r="E48" s="822">
        <v>3000</v>
      </c>
      <c r="F48" s="820" t="s">
        <v>664</v>
      </c>
      <c r="G48" s="282" t="s">
        <v>387</v>
      </c>
      <c r="H48" s="283">
        <v>40575</v>
      </c>
      <c r="I48" s="962" t="s">
        <v>117</v>
      </c>
      <c r="J48" s="820" t="s">
        <v>665</v>
      </c>
      <c r="K48" s="822" t="s">
        <v>1678</v>
      </c>
      <c r="L48" s="285">
        <v>2.68</v>
      </c>
      <c r="M48" s="820"/>
      <c r="N48" s="820"/>
      <c r="O48" s="208">
        <f>P48/(365*0.001*0.9)</f>
        <v>1277777.7777777778</v>
      </c>
      <c r="P48" s="824">
        <f>1150*365</f>
        <v>419750</v>
      </c>
      <c r="Q48" s="280" t="s">
        <v>1443</v>
      </c>
      <c r="R48" s="822" t="s">
        <v>1396</v>
      </c>
      <c r="S48" s="208">
        <f t="shared" si="1"/>
        <v>3741287.4128741287</v>
      </c>
      <c r="T48" s="823"/>
      <c r="U48" s="823" t="s">
        <v>666</v>
      </c>
      <c r="V48" s="821">
        <v>257770</v>
      </c>
      <c r="W48" s="826" t="s">
        <v>667</v>
      </c>
      <c r="X48" s="827" t="s">
        <v>27</v>
      </c>
      <c r="Y48" s="820" t="s">
        <v>661</v>
      </c>
    </row>
    <row r="49" spans="1:25" ht="111.75" customHeight="1">
      <c r="A49" s="280" t="s">
        <v>31</v>
      </c>
      <c r="B49" s="819" t="s">
        <v>669</v>
      </c>
      <c r="C49" s="820" t="s">
        <v>670</v>
      </c>
      <c r="D49" s="281">
        <v>8487347</v>
      </c>
      <c r="E49" s="820" t="s">
        <v>591</v>
      </c>
      <c r="F49" s="820" t="s">
        <v>671</v>
      </c>
      <c r="G49" s="282" t="s">
        <v>387</v>
      </c>
      <c r="H49" s="283">
        <v>39326</v>
      </c>
      <c r="I49" s="962" t="s">
        <v>117</v>
      </c>
      <c r="J49" s="820" t="s">
        <v>672</v>
      </c>
      <c r="K49" s="376" t="s">
        <v>673</v>
      </c>
      <c r="L49" s="285">
        <v>3.532</v>
      </c>
      <c r="M49" s="820"/>
      <c r="N49" s="820" t="s">
        <v>66</v>
      </c>
      <c r="O49" s="208">
        <f>P49/(365*0.001*0.9)</f>
        <v>1167427.701674277</v>
      </c>
      <c r="P49" s="327">
        <f>650000*0.59</f>
        <v>383500</v>
      </c>
      <c r="Q49" s="280" t="s">
        <v>1443</v>
      </c>
      <c r="R49" s="820"/>
      <c r="S49" s="208">
        <f t="shared" si="1"/>
        <v>3418186.355776601</v>
      </c>
      <c r="T49" s="823"/>
      <c r="U49" s="304" t="s">
        <v>66</v>
      </c>
      <c r="V49" s="281">
        <v>168500</v>
      </c>
      <c r="W49" s="344" t="s">
        <v>1308</v>
      </c>
      <c r="X49" s="827" t="s">
        <v>27</v>
      </c>
      <c r="Y49" s="820" t="s">
        <v>668</v>
      </c>
    </row>
    <row r="50" spans="1:25" ht="61.5" customHeight="1">
      <c r="A50" s="785" t="s">
        <v>31</v>
      </c>
      <c r="B50" s="819" t="s">
        <v>674</v>
      </c>
      <c r="C50" s="820" t="s">
        <v>675</v>
      </c>
      <c r="D50" s="281">
        <v>5885033</v>
      </c>
      <c r="E50" s="822">
        <v>5</v>
      </c>
      <c r="F50" s="820" t="s">
        <v>671</v>
      </c>
      <c r="G50" s="282" t="s">
        <v>387</v>
      </c>
      <c r="H50" s="283">
        <v>39326</v>
      </c>
      <c r="I50" s="962" t="s">
        <v>117</v>
      </c>
      <c r="J50" s="820" t="s">
        <v>676</v>
      </c>
      <c r="K50" s="820" t="s">
        <v>677</v>
      </c>
      <c r="L50" s="285">
        <v>4.3959999999999999</v>
      </c>
      <c r="M50" s="820"/>
      <c r="N50" s="820"/>
      <c r="O50" s="208">
        <f>P50/(365*0.001*0.9)</f>
        <v>811263.31811263319</v>
      </c>
      <c r="P50" s="327">
        <f>650000*0.41</f>
        <v>266500</v>
      </c>
      <c r="Q50" s="280" t="s">
        <v>1443</v>
      </c>
      <c r="R50" s="820"/>
      <c r="S50" s="208">
        <f t="shared" si="1"/>
        <v>2375349.8404549262</v>
      </c>
      <c r="T50" s="823"/>
      <c r="U50" s="823" t="s">
        <v>66</v>
      </c>
      <c r="V50" s="281">
        <v>238540</v>
      </c>
      <c r="W50" s="344" t="s">
        <v>647</v>
      </c>
      <c r="X50" s="827"/>
      <c r="Y50" s="820"/>
    </row>
    <row r="51" spans="1:25" ht="60.75" customHeight="1">
      <c r="A51" s="348" t="s">
        <v>1204</v>
      </c>
      <c r="B51" s="819" t="s">
        <v>849</v>
      </c>
      <c r="C51" s="820" t="s">
        <v>1288</v>
      </c>
      <c r="D51" s="537">
        <v>8509815</v>
      </c>
      <c r="E51" s="820"/>
      <c r="F51" s="820" t="s">
        <v>850</v>
      </c>
      <c r="G51" s="282" t="s">
        <v>387</v>
      </c>
      <c r="H51" s="823">
        <v>2003</v>
      </c>
      <c r="I51" s="962" t="s">
        <v>117</v>
      </c>
      <c r="J51" s="820" t="s">
        <v>645</v>
      </c>
      <c r="K51" s="285" t="s">
        <v>851</v>
      </c>
      <c r="L51" s="285">
        <v>1.37</v>
      </c>
      <c r="M51" s="820"/>
      <c r="N51" s="820"/>
      <c r="O51" s="208">
        <f>P51/0.6</f>
        <v>342976.66666666669</v>
      </c>
      <c r="P51" s="208">
        <v>205786</v>
      </c>
      <c r="Q51" s="280" t="s">
        <v>1444</v>
      </c>
      <c r="R51" s="820" t="s">
        <v>38</v>
      </c>
      <c r="S51" s="208">
        <f t="shared" si="1"/>
        <v>1834197.9071964633</v>
      </c>
      <c r="T51" s="823" t="s">
        <v>1201</v>
      </c>
      <c r="U51" s="823"/>
      <c r="V51" s="281">
        <v>118600</v>
      </c>
      <c r="W51" s="285" t="s">
        <v>836</v>
      </c>
      <c r="X51" s="826" t="s">
        <v>27</v>
      </c>
      <c r="Y51" s="825" t="s">
        <v>848</v>
      </c>
    </row>
    <row r="52" spans="1:25" ht="86.25" customHeight="1">
      <c r="A52" s="280" t="s">
        <v>31</v>
      </c>
      <c r="B52" s="340" t="s">
        <v>679</v>
      </c>
      <c r="C52" s="339" t="s">
        <v>680</v>
      </c>
      <c r="D52" s="281">
        <v>6439775</v>
      </c>
      <c r="E52" s="339"/>
      <c r="F52" s="339" t="s">
        <v>399</v>
      </c>
      <c r="G52" s="341" t="s">
        <v>681</v>
      </c>
      <c r="H52" s="1204">
        <v>39114</v>
      </c>
      <c r="I52" s="962" t="s">
        <v>117</v>
      </c>
      <c r="J52" s="341" t="s">
        <v>682</v>
      </c>
      <c r="K52" s="820" t="s">
        <v>683</v>
      </c>
      <c r="L52" s="342">
        <v>2.16</v>
      </c>
      <c r="M52" s="820"/>
      <c r="N52" s="820"/>
      <c r="O52" s="208">
        <f>P52/(365*0.001*0.9)</f>
        <v>1082739.7260273972</v>
      </c>
      <c r="P52" s="824">
        <f>29640*12</f>
        <v>355680</v>
      </c>
      <c r="Q52" s="280" t="s">
        <v>1443</v>
      </c>
      <c r="R52" s="820"/>
      <c r="S52" s="821">
        <v>3118460</v>
      </c>
      <c r="T52" s="823"/>
      <c r="U52" s="343" t="s">
        <v>684</v>
      </c>
      <c r="V52" s="821">
        <v>207760</v>
      </c>
      <c r="W52" s="339" t="s">
        <v>685</v>
      </c>
      <c r="X52" s="826"/>
      <c r="Y52" s="339" t="s">
        <v>678</v>
      </c>
    </row>
    <row r="53" spans="1:25" ht="61.5" customHeight="1">
      <c r="A53" s="280" t="s">
        <v>31</v>
      </c>
      <c r="B53" s="819" t="s">
        <v>687</v>
      </c>
      <c r="C53" s="820" t="s">
        <v>688</v>
      </c>
      <c r="D53" s="281">
        <v>8406322</v>
      </c>
      <c r="E53" s="820"/>
      <c r="F53" s="820" t="s">
        <v>689</v>
      </c>
      <c r="G53" s="282" t="s">
        <v>681</v>
      </c>
      <c r="H53" s="778">
        <v>40814</v>
      </c>
      <c r="I53" s="962" t="s">
        <v>117</v>
      </c>
      <c r="J53" s="820" t="s">
        <v>690</v>
      </c>
      <c r="K53" s="820" t="s">
        <v>691</v>
      </c>
      <c r="L53" s="293">
        <v>2.5</v>
      </c>
      <c r="M53" s="820"/>
      <c r="N53" s="820"/>
      <c r="O53" s="208">
        <f>P53/(365*0.001*0.9)</f>
        <v>667129.37595129374</v>
      </c>
      <c r="P53" s="327">
        <v>219152</v>
      </c>
      <c r="Q53" s="280" t="s">
        <v>1443</v>
      </c>
      <c r="R53" s="820"/>
      <c r="S53" s="208">
        <f>P53/0.112194</f>
        <v>1953330.8376562027</v>
      </c>
      <c r="T53" s="307"/>
      <c r="U53" s="823"/>
      <c r="V53" s="299">
        <v>238600</v>
      </c>
      <c r="W53" s="344" t="s">
        <v>1310</v>
      </c>
      <c r="X53" s="826" t="s">
        <v>27</v>
      </c>
      <c r="Y53" s="334" t="s">
        <v>686</v>
      </c>
    </row>
    <row r="54" spans="1:25" ht="105" customHeight="1">
      <c r="A54" s="280" t="s">
        <v>31</v>
      </c>
      <c r="B54" s="819" t="s">
        <v>693</v>
      </c>
      <c r="C54" s="820" t="s">
        <v>563</v>
      </c>
      <c r="D54" s="281">
        <v>14443297</v>
      </c>
      <c r="E54" s="820"/>
      <c r="F54" s="820"/>
      <c r="G54" s="282" t="s">
        <v>681</v>
      </c>
      <c r="H54" s="311" t="s">
        <v>694</v>
      </c>
      <c r="I54" s="962" t="s">
        <v>117</v>
      </c>
      <c r="J54" s="820" t="s">
        <v>564</v>
      </c>
      <c r="K54" s="820" t="s">
        <v>695</v>
      </c>
      <c r="L54" s="847"/>
      <c r="M54" s="820"/>
      <c r="N54" s="820"/>
      <c r="O54" s="208">
        <f>2790000*0.6</f>
        <v>1674000</v>
      </c>
      <c r="P54" s="327">
        <v>476690</v>
      </c>
      <c r="Q54" s="280" t="s">
        <v>1445</v>
      </c>
      <c r="R54" s="820"/>
      <c r="S54" s="208">
        <f>P54/0.112194</f>
        <v>4248801.1836640108</v>
      </c>
      <c r="T54" s="307"/>
      <c r="U54" s="304" t="s">
        <v>66</v>
      </c>
      <c r="V54" s="305"/>
      <c r="W54" s="285" t="s">
        <v>696</v>
      </c>
      <c r="X54" s="826" t="s">
        <v>27</v>
      </c>
      <c r="Y54" s="820" t="s">
        <v>692</v>
      </c>
    </row>
    <row r="55" spans="1:25" ht="36.75" customHeight="1">
      <c r="A55" s="303" t="s">
        <v>31</v>
      </c>
      <c r="B55" s="819" t="s">
        <v>698</v>
      </c>
      <c r="C55" s="820" t="s">
        <v>699</v>
      </c>
      <c r="D55" s="281">
        <v>10938023</v>
      </c>
      <c r="E55" s="820"/>
      <c r="F55" s="820" t="s">
        <v>700</v>
      </c>
      <c r="G55" s="282" t="s">
        <v>251</v>
      </c>
      <c r="H55" s="283">
        <v>42491</v>
      </c>
      <c r="I55" s="956" t="s">
        <v>117</v>
      </c>
      <c r="J55" s="820" t="s">
        <v>701</v>
      </c>
      <c r="K55" s="820" t="s">
        <v>1679</v>
      </c>
      <c r="L55" s="293">
        <v>2.2999999999999998</v>
      </c>
      <c r="M55" s="820"/>
      <c r="N55" s="820"/>
      <c r="O55" s="208">
        <f>P55/(0.001*365*0.9)</f>
        <v>1505585.9969558599</v>
      </c>
      <c r="P55" s="327">
        <v>494585</v>
      </c>
      <c r="Q55" s="280" t="s">
        <v>1444</v>
      </c>
      <c r="R55" s="820"/>
      <c r="S55" s="208">
        <f>P55/0.112194</f>
        <v>4408301.6917125694</v>
      </c>
      <c r="T55" s="823"/>
      <c r="U55" s="823" t="s">
        <v>39</v>
      </c>
      <c r="V55" s="281">
        <v>21950</v>
      </c>
      <c r="W55" s="820"/>
      <c r="X55" s="826" t="s">
        <v>27</v>
      </c>
      <c r="Y55" s="820" t="s">
        <v>697</v>
      </c>
    </row>
    <row r="56" spans="1:25" ht="78.75" customHeight="1">
      <c r="A56" s="280" t="s">
        <v>31</v>
      </c>
      <c r="B56" s="819" t="s">
        <v>703</v>
      </c>
      <c r="C56" s="820" t="s">
        <v>704</v>
      </c>
      <c r="D56" s="281">
        <v>9316426</v>
      </c>
      <c r="E56" s="822">
        <v>3000</v>
      </c>
      <c r="F56" s="820" t="s">
        <v>705</v>
      </c>
      <c r="G56" s="282" t="s">
        <v>251</v>
      </c>
      <c r="H56" s="311" t="s">
        <v>706</v>
      </c>
      <c r="I56" s="956" t="s">
        <v>117</v>
      </c>
      <c r="J56" s="820" t="s">
        <v>1222</v>
      </c>
      <c r="K56" s="820" t="s">
        <v>1383</v>
      </c>
      <c r="L56" s="822">
        <v>4.0999999999999996</v>
      </c>
      <c r="M56" s="820"/>
      <c r="N56" s="820"/>
      <c r="O56" s="821">
        <v>3700000</v>
      </c>
      <c r="P56" s="824">
        <v>753000</v>
      </c>
      <c r="Q56" s="280" t="s">
        <v>1443</v>
      </c>
      <c r="R56" s="820"/>
      <c r="S56" s="821">
        <v>11843885</v>
      </c>
      <c r="T56" s="821">
        <v>14404725</v>
      </c>
      <c r="U56" s="304" t="s">
        <v>66</v>
      </c>
      <c r="V56" s="821">
        <v>44818</v>
      </c>
      <c r="W56" s="285" t="s">
        <v>707</v>
      </c>
      <c r="X56" s="826" t="s">
        <v>27</v>
      </c>
      <c r="Y56" s="820" t="s">
        <v>702</v>
      </c>
    </row>
    <row r="57" spans="1:25" ht="75.75" customHeight="1">
      <c r="A57" s="785" t="s">
        <v>31</v>
      </c>
      <c r="B57" s="819" t="s">
        <v>1311</v>
      </c>
      <c r="C57" s="820" t="s">
        <v>709</v>
      </c>
      <c r="D57" s="281">
        <v>10276366</v>
      </c>
      <c r="E57" s="305"/>
      <c r="F57" s="820" t="s">
        <v>710</v>
      </c>
      <c r="G57" s="282" t="s">
        <v>251</v>
      </c>
      <c r="H57" s="283">
        <v>39925</v>
      </c>
      <c r="I57" s="962" t="s">
        <v>117</v>
      </c>
      <c r="J57" s="820" t="s">
        <v>526</v>
      </c>
      <c r="K57" s="820" t="s">
        <v>711</v>
      </c>
      <c r="L57" s="822">
        <v>1.5</v>
      </c>
      <c r="M57" s="820"/>
      <c r="N57" s="820"/>
      <c r="O57" s="327">
        <f>P57/(0.001*365*0.9)</f>
        <v>1012374.4292237442</v>
      </c>
      <c r="P57" s="824">
        <v>332565</v>
      </c>
      <c r="Q57" s="280" t="s">
        <v>1444</v>
      </c>
      <c r="R57" s="820" t="s">
        <v>1312</v>
      </c>
      <c r="S57" s="208">
        <f t="shared" ref="S57:S62" si="3">P57/0.112194</f>
        <v>2964195.9463072889</v>
      </c>
      <c r="T57" s="823"/>
      <c r="U57" s="823"/>
      <c r="V57" s="281">
        <v>219900</v>
      </c>
      <c r="W57" s="344" t="s">
        <v>712</v>
      </c>
      <c r="X57" s="826" t="s">
        <v>27</v>
      </c>
      <c r="Y57" s="820" t="s">
        <v>708</v>
      </c>
    </row>
    <row r="58" spans="1:25" ht="37.5">
      <c r="A58" s="280" t="s">
        <v>31</v>
      </c>
      <c r="B58" s="819" t="s">
        <v>714</v>
      </c>
      <c r="C58" s="820" t="s">
        <v>715</v>
      </c>
      <c r="D58" s="281">
        <v>94228220</v>
      </c>
      <c r="E58" s="820"/>
      <c r="F58" s="820" t="s">
        <v>69</v>
      </c>
      <c r="G58" s="282" t="s">
        <v>251</v>
      </c>
      <c r="H58" s="823" t="s">
        <v>716</v>
      </c>
      <c r="I58" s="956" t="s">
        <v>117</v>
      </c>
      <c r="J58" s="820" t="s">
        <v>645</v>
      </c>
      <c r="K58" s="820" t="s">
        <v>1384</v>
      </c>
      <c r="L58" s="293">
        <v>8</v>
      </c>
      <c r="M58" s="820"/>
      <c r="N58" s="820"/>
      <c r="O58" s="208">
        <f>P58/(0.001*365*0.9)</f>
        <v>4476898.02130898</v>
      </c>
      <c r="P58" s="327">
        <v>1470661</v>
      </c>
      <c r="Q58" s="280" t="s">
        <v>1443</v>
      </c>
      <c r="R58" s="820"/>
      <c r="S58" s="208">
        <f t="shared" si="3"/>
        <v>13108196.516747776</v>
      </c>
      <c r="T58" s="307"/>
      <c r="U58" s="823"/>
      <c r="V58" s="281">
        <v>763400</v>
      </c>
      <c r="W58" s="820" t="s">
        <v>717</v>
      </c>
      <c r="X58" s="826" t="s">
        <v>27</v>
      </c>
      <c r="Y58" s="820" t="s">
        <v>713</v>
      </c>
    </row>
    <row r="59" spans="1:25" ht="82.5">
      <c r="A59" s="280" t="s">
        <v>31</v>
      </c>
      <c r="B59" s="819" t="s">
        <v>1291</v>
      </c>
      <c r="C59" s="820" t="s">
        <v>719</v>
      </c>
      <c r="D59" s="299">
        <v>49938938</v>
      </c>
      <c r="E59" s="820"/>
      <c r="F59" s="820" t="s">
        <v>720</v>
      </c>
      <c r="G59" s="282" t="s">
        <v>251</v>
      </c>
      <c r="H59" s="283">
        <v>39448</v>
      </c>
      <c r="I59" s="956" t="s">
        <v>117</v>
      </c>
      <c r="J59" s="820" t="s">
        <v>721</v>
      </c>
      <c r="K59" s="820" t="s">
        <v>722</v>
      </c>
      <c r="L59" s="845">
        <v>12.5</v>
      </c>
      <c r="M59" s="820"/>
      <c r="N59" s="820"/>
      <c r="O59" s="208">
        <f>L59*0.6*1000000</f>
        <v>7500000</v>
      </c>
      <c r="P59" s="327">
        <f>O59*0.001*365*0.9</f>
        <v>2463750</v>
      </c>
      <c r="Q59" s="280" t="s">
        <v>1443</v>
      </c>
      <c r="R59" s="820"/>
      <c r="S59" s="208">
        <f t="shared" si="3"/>
        <v>21959730.466869887</v>
      </c>
      <c r="T59" s="823"/>
      <c r="U59" s="823"/>
      <c r="V59" s="281">
        <v>954300</v>
      </c>
      <c r="W59" s="285" t="s">
        <v>723</v>
      </c>
      <c r="X59" s="826" t="s">
        <v>27</v>
      </c>
      <c r="Y59" s="820" t="s">
        <v>718</v>
      </c>
    </row>
    <row r="60" spans="1:25" ht="75" customHeight="1">
      <c r="A60" s="368" t="s">
        <v>31</v>
      </c>
      <c r="B60" s="377" t="s">
        <v>1680</v>
      </c>
      <c r="C60" s="376" t="s">
        <v>726</v>
      </c>
      <c r="D60" s="379">
        <v>9702480</v>
      </c>
      <c r="E60" s="606"/>
      <c r="F60" s="606"/>
      <c r="G60" s="1200" t="s">
        <v>251</v>
      </c>
      <c r="H60" s="606"/>
      <c r="I60" s="962" t="s">
        <v>117</v>
      </c>
      <c r="J60" s="376" t="s">
        <v>701</v>
      </c>
      <c r="K60" s="570" t="s">
        <v>1313</v>
      </c>
      <c r="L60" s="1209">
        <v>5.6</v>
      </c>
      <c r="M60" s="606"/>
      <c r="N60" s="606"/>
      <c r="O60" s="851">
        <f>P60/(0.001*0.9*365)</f>
        <v>2450468.7975646877</v>
      </c>
      <c r="P60" s="857">
        <v>804979</v>
      </c>
      <c r="Q60" s="1215" t="s">
        <v>1444</v>
      </c>
      <c r="R60" s="398"/>
      <c r="S60" s="851">
        <f t="shared" si="3"/>
        <v>7174884.5749327056</v>
      </c>
      <c r="T60" s="398"/>
      <c r="U60" s="398"/>
      <c r="V60" s="307"/>
      <c r="W60" s="1220" t="s">
        <v>1317</v>
      </c>
      <c r="X60" s="826" t="s">
        <v>27</v>
      </c>
      <c r="Y60" s="703" t="s">
        <v>724</v>
      </c>
    </row>
    <row r="61" spans="1:25" ht="49.5" customHeight="1">
      <c r="A61" s="348" t="s">
        <v>31</v>
      </c>
      <c r="B61" s="819" t="s">
        <v>1286</v>
      </c>
      <c r="C61" s="820" t="s">
        <v>701</v>
      </c>
      <c r="D61" s="281">
        <v>12352362</v>
      </c>
      <c r="E61" s="329"/>
      <c r="F61" s="329"/>
      <c r="G61" s="331" t="s">
        <v>251</v>
      </c>
      <c r="H61" s="329"/>
      <c r="I61" s="956" t="s">
        <v>117</v>
      </c>
      <c r="J61" s="329"/>
      <c r="K61" s="373" t="s">
        <v>1315</v>
      </c>
      <c r="L61" s="373">
        <v>2.16</v>
      </c>
      <c r="M61" s="329"/>
      <c r="N61" s="329"/>
      <c r="O61" s="208">
        <f>P61/(0.001*0.9*365)</f>
        <v>1064292.2374429223</v>
      </c>
      <c r="P61" s="824">
        <v>349620</v>
      </c>
      <c r="Q61" s="280" t="s">
        <v>1444</v>
      </c>
      <c r="R61" s="307"/>
      <c r="S61" s="327">
        <f t="shared" si="3"/>
        <v>3116209.4229637948</v>
      </c>
      <c r="T61" s="307"/>
      <c r="U61" s="307"/>
      <c r="V61" s="307"/>
      <c r="W61" s="1221" t="s">
        <v>660</v>
      </c>
      <c r="X61" s="826" t="s">
        <v>27</v>
      </c>
      <c r="Y61" s="820" t="s">
        <v>727</v>
      </c>
    </row>
    <row r="62" spans="1:25" ht="58.5" customHeight="1">
      <c r="A62" s="348" t="s">
        <v>31</v>
      </c>
      <c r="B62" s="819" t="s">
        <v>796</v>
      </c>
      <c r="C62" s="820" t="s">
        <v>701</v>
      </c>
      <c r="D62" s="537">
        <v>21307420</v>
      </c>
      <c r="E62" s="329"/>
      <c r="F62" s="329" t="s">
        <v>705</v>
      </c>
      <c r="G62" s="331" t="s">
        <v>251</v>
      </c>
      <c r="H62" s="356"/>
      <c r="I62" s="962" t="s">
        <v>135</v>
      </c>
      <c r="J62" s="329"/>
      <c r="K62" s="285" t="s">
        <v>1309</v>
      </c>
      <c r="L62" s="329"/>
      <c r="M62" s="329"/>
      <c r="N62" s="329"/>
      <c r="O62" s="1210">
        <f>P62/(0.001*0.9*365)</f>
        <v>2739378.9954337897</v>
      </c>
      <c r="P62" s="824">
        <v>899886</v>
      </c>
      <c r="Q62" s="280" t="s">
        <v>1444</v>
      </c>
      <c r="R62" s="307"/>
      <c r="S62" s="327">
        <f t="shared" si="3"/>
        <v>8020803.2515107756</v>
      </c>
      <c r="T62" s="307"/>
      <c r="U62" s="307"/>
      <c r="V62" s="307"/>
      <c r="W62" s="349"/>
      <c r="X62" s="826" t="s">
        <v>27</v>
      </c>
      <c r="Y62" s="820" t="s">
        <v>795</v>
      </c>
    </row>
    <row r="63" spans="1:25" ht="73.5" customHeight="1">
      <c r="A63" s="280" t="s">
        <v>31</v>
      </c>
      <c r="B63" s="819" t="s">
        <v>788</v>
      </c>
      <c r="C63" s="820" t="s">
        <v>1358</v>
      </c>
      <c r="D63" s="281">
        <v>22710307</v>
      </c>
      <c r="E63" s="822">
        <v>4500</v>
      </c>
      <c r="F63" s="830" t="s">
        <v>1359</v>
      </c>
      <c r="G63" s="828" t="s">
        <v>251</v>
      </c>
      <c r="H63" s="1205">
        <v>43160</v>
      </c>
      <c r="I63" s="956" t="s">
        <v>117</v>
      </c>
      <c r="J63" s="820" t="s">
        <v>1681</v>
      </c>
      <c r="K63" s="820" t="s">
        <v>789</v>
      </c>
      <c r="L63" s="822">
        <v>3.8</v>
      </c>
      <c r="M63" s="820">
        <v>3.8</v>
      </c>
      <c r="N63" s="820"/>
      <c r="O63" s="821">
        <v>3400000</v>
      </c>
      <c r="P63" s="824">
        <v>636000</v>
      </c>
      <c r="Q63" s="933" t="s">
        <v>1443</v>
      </c>
      <c r="R63" s="820"/>
      <c r="S63" s="821">
        <v>10883570</v>
      </c>
      <c r="T63" s="821">
        <v>16645460</v>
      </c>
      <c r="U63" s="823" t="s">
        <v>66</v>
      </c>
      <c r="V63" s="821">
        <v>31450</v>
      </c>
      <c r="W63" s="820" t="s">
        <v>790</v>
      </c>
      <c r="X63" s="826" t="s">
        <v>27</v>
      </c>
      <c r="Y63" s="820" t="s">
        <v>787</v>
      </c>
    </row>
    <row r="64" spans="1:25" ht="76.5" customHeight="1">
      <c r="A64" s="280" t="s">
        <v>31</v>
      </c>
      <c r="B64" s="819" t="s">
        <v>1285</v>
      </c>
      <c r="C64" s="820" t="s">
        <v>729</v>
      </c>
      <c r="D64" s="299">
        <v>11022493</v>
      </c>
      <c r="E64" s="822">
        <v>2000</v>
      </c>
      <c r="F64" s="820" t="s">
        <v>518</v>
      </c>
      <c r="G64" s="282" t="s">
        <v>251</v>
      </c>
      <c r="H64" s="283">
        <v>40998</v>
      </c>
      <c r="I64" s="962" t="s">
        <v>117</v>
      </c>
      <c r="J64" s="820" t="s">
        <v>526</v>
      </c>
      <c r="K64" s="820" t="s">
        <v>730</v>
      </c>
      <c r="L64" s="822">
        <v>2</v>
      </c>
      <c r="M64" s="820"/>
      <c r="N64" s="820"/>
      <c r="O64" s="208">
        <f>2*0.6*1000000</f>
        <v>1200000</v>
      </c>
      <c r="P64" s="327">
        <f>O64*(0.001*365*0.9)</f>
        <v>394200</v>
      </c>
      <c r="Q64" s="280" t="s">
        <v>1443</v>
      </c>
      <c r="R64" s="820"/>
      <c r="S64" s="327">
        <f>P64/0.112194</f>
        <v>3513556.8746991819</v>
      </c>
      <c r="T64" s="823"/>
      <c r="U64" s="304"/>
      <c r="V64" s="281">
        <v>267800</v>
      </c>
      <c r="W64" s="826" t="s">
        <v>731</v>
      </c>
      <c r="X64" s="827"/>
      <c r="Y64" s="820" t="s">
        <v>728</v>
      </c>
    </row>
    <row r="65" spans="1:25" ht="57.75" customHeight="1">
      <c r="A65" s="280" t="s">
        <v>31</v>
      </c>
      <c r="B65" s="819" t="s">
        <v>733</v>
      </c>
      <c r="C65" s="820" t="s">
        <v>734</v>
      </c>
      <c r="D65" s="821">
        <v>40700000</v>
      </c>
      <c r="E65" s="820"/>
      <c r="F65" s="820" t="s">
        <v>735</v>
      </c>
      <c r="G65" s="282" t="s">
        <v>121</v>
      </c>
      <c r="H65" s="283">
        <v>40452</v>
      </c>
      <c r="I65" s="956" t="s">
        <v>117</v>
      </c>
      <c r="J65" s="820" t="s">
        <v>736</v>
      </c>
      <c r="K65" s="820" t="s">
        <v>737</v>
      </c>
      <c r="L65" s="822">
        <v>12.2</v>
      </c>
      <c r="M65" s="820"/>
      <c r="N65" s="820"/>
      <c r="O65" s="208">
        <f>L65*0.6*1000000</f>
        <v>7319999.9999999991</v>
      </c>
      <c r="P65" s="824">
        <v>1633831</v>
      </c>
      <c r="Q65" s="938" t="s">
        <v>1443</v>
      </c>
      <c r="R65" s="820"/>
      <c r="S65" s="821">
        <f>P65/0.112194</f>
        <v>14562552.364654081</v>
      </c>
      <c r="T65" s="351"/>
      <c r="U65" s="825" t="s">
        <v>1389</v>
      </c>
      <c r="V65" s="281">
        <v>1145200</v>
      </c>
      <c r="W65" s="820" t="s">
        <v>738</v>
      </c>
      <c r="X65" s="826" t="s">
        <v>27</v>
      </c>
      <c r="Y65" s="820" t="s">
        <v>732</v>
      </c>
    </row>
    <row r="66" spans="1:25" s="804" customFormat="1" ht="66.75" customHeight="1">
      <c r="A66" s="348" t="s">
        <v>31</v>
      </c>
      <c r="B66" s="819" t="s">
        <v>792</v>
      </c>
      <c r="C66" s="820" t="s">
        <v>793</v>
      </c>
      <c r="D66" s="281">
        <v>53506278</v>
      </c>
      <c r="E66" s="335">
        <v>6850</v>
      </c>
      <c r="F66" s="329"/>
      <c r="G66" s="839" t="s">
        <v>121</v>
      </c>
      <c r="H66" s="844" t="s">
        <v>1235</v>
      </c>
      <c r="I66" s="963" t="s">
        <v>117</v>
      </c>
      <c r="J66" s="332" t="s">
        <v>794</v>
      </c>
      <c r="K66" s="820" t="s">
        <v>1682</v>
      </c>
      <c r="L66" s="335">
        <v>11.5</v>
      </c>
      <c r="M66" s="329"/>
      <c r="N66" s="329"/>
      <c r="O66" s="821">
        <v>5750000</v>
      </c>
      <c r="P66" s="821">
        <f>5000*365</f>
        <v>1825000</v>
      </c>
      <c r="Q66" s="937" t="s">
        <v>1444</v>
      </c>
      <c r="R66" s="305"/>
      <c r="S66" s="208">
        <f>P66/0.112194</f>
        <v>16266467.012496212</v>
      </c>
      <c r="T66" s="329"/>
      <c r="U66" s="822" t="s">
        <v>1236</v>
      </c>
      <c r="V66" s="821">
        <v>128750</v>
      </c>
      <c r="W66" s="826" t="s">
        <v>752</v>
      </c>
      <c r="X66" s="826" t="s">
        <v>27</v>
      </c>
      <c r="Y66" s="820" t="s">
        <v>791</v>
      </c>
    </row>
    <row r="67" spans="1:25" ht="75" customHeight="1">
      <c r="A67" s="775" t="s">
        <v>31</v>
      </c>
      <c r="B67" s="774" t="s">
        <v>1318</v>
      </c>
      <c r="C67" s="776" t="s">
        <v>740</v>
      </c>
      <c r="D67" s="281">
        <v>5498304</v>
      </c>
      <c r="E67" s="780"/>
      <c r="F67" s="776" t="s">
        <v>741</v>
      </c>
      <c r="G67" s="777" t="s">
        <v>148</v>
      </c>
      <c r="H67" s="778">
        <v>40620</v>
      </c>
      <c r="I67" s="964" t="s">
        <v>117</v>
      </c>
      <c r="J67" s="784" t="s">
        <v>552</v>
      </c>
      <c r="K67" s="782" t="s">
        <v>1385</v>
      </c>
      <c r="L67" s="855">
        <v>7.1999999999999995E-2</v>
      </c>
      <c r="M67" s="855">
        <v>2.448</v>
      </c>
      <c r="N67" s="855">
        <v>0.86399999999999999</v>
      </c>
      <c r="O67" s="856">
        <v>35640</v>
      </c>
      <c r="P67" s="856">
        <v>12544.85232</v>
      </c>
      <c r="Q67" s="939" t="s">
        <v>1444</v>
      </c>
      <c r="R67" s="1496" t="s">
        <v>1683</v>
      </c>
      <c r="S67" s="781">
        <v>111813.9322958447</v>
      </c>
      <c r="T67" s="783">
        <v>111813.9322958447</v>
      </c>
      <c r="U67" s="784" t="s">
        <v>1319</v>
      </c>
      <c r="V67" s="281">
        <v>6700</v>
      </c>
      <c r="W67" s="779" t="s">
        <v>1320</v>
      </c>
      <c r="X67" s="826" t="s">
        <v>27</v>
      </c>
      <c r="Y67" s="820" t="s">
        <v>739</v>
      </c>
    </row>
    <row r="68" spans="1:25" ht="57.75" customHeight="1">
      <c r="A68" s="354" t="s">
        <v>31</v>
      </c>
      <c r="B68" s="774" t="s">
        <v>743</v>
      </c>
      <c r="C68" s="776" t="s">
        <v>744</v>
      </c>
      <c r="D68" s="281">
        <v>4761902</v>
      </c>
      <c r="E68" s="356"/>
      <c r="F68" s="356"/>
      <c r="G68" s="358" t="s">
        <v>745</v>
      </c>
      <c r="H68" s="356">
        <v>2017</v>
      </c>
      <c r="I68" s="965" t="s">
        <v>117</v>
      </c>
      <c r="J68" s="776" t="s">
        <v>746</v>
      </c>
      <c r="K68" s="776" t="s">
        <v>1684</v>
      </c>
      <c r="L68" s="359">
        <v>0.67349999999999999</v>
      </c>
      <c r="M68" s="356"/>
      <c r="N68" s="356"/>
      <c r="O68" s="705">
        <f>P68/(0.001*365*0.9)</f>
        <v>441400.30441400304</v>
      </c>
      <c r="P68" s="355">
        <v>145000</v>
      </c>
      <c r="Q68" s="940" t="s">
        <v>1444</v>
      </c>
      <c r="R68" s="360"/>
      <c r="S68" s="705">
        <f>P68/0.112194</f>
        <v>1292404.22839011</v>
      </c>
      <c r="T68" s="355">
        <v>1900000</v>
      </c>
      <c r="U68" s="360" t="s">
        <v>66</v>
      </c>
      <c r="V68" s="838">
        <v>64600</v>
      </c>
      <c r="W68" s="360" t="s">
        <v>747</v>
      </c>
      <c r="X68" s="826" t="s">
        <v>27</v>
      </c>
      <c r="Y68" s="776" t="s">
        <v>742</v>
      </c>
    </row>
    <row r="69" spans="1:25" ht="15.75">
      <c r="A69" s="363"/>
      <c r="B69" s="669" t="s">
        <v>748</v>
      </c>
      <c r="C69" s="362"/>
      <c r="D69" s="364"/>
      <c r="E69" s="362"/>
      <c r="F69" s="362"/>
      <c r="G69" s="365"/>
      <c r="H69" s="366"/>
      <c r="I69" s="367"/>
      <c r="J69" s="362"/>
      <c r="K69" s="362"/>
      <c r="L69" s="362"/>
      <c r="M69" s="362"/>
      <c r="N69" s="362"/>
      <c r="O69" s="364"/>
      <c r="P69" s="364"/>
      <c r="Q69" s="941"/>
      <c r="R69" s="362"/>
      <c r="S69" s="364"/>
      <c r="T69" s="367"/>
      <c r="U69" s="367"/>
      <c r="V69" s="364"/>
      <c r="W69" s="362"/>
      <c r="X69" s="362"/>
      <c r="Y69" s="1311"/>
    </row>
    <row r="70" spans="1:25" s="493" customFormat="1" ht="59.25" customHeight="1">
      <c r="A70" s="785" t="s">
        <v>96</v>
      </c>
      <c r="B70" s="535" t="s">
        <v>750</v>
      </c>
      <c r="C70" s="316" t="s">
        <v>1299</v>
      </c>
      <c r="D70" s="562">
        <v>18000000</v>
      </c>
      <c r="E70" s="1231">
        <v>5000</v>
      </c>
      <c r="F70" s="858"/>
      <c r="G70" s="840" t="s">
        <v>751</v>
      </c>
      <c r="H70" s="1238" t="s">
        <v>122</v>
      </c>
      <c r="I70" s="966" t="s">
        <v>135</v>
      </c>
      <c r="J70" s="786" t="s">
        <v>1256</v>
      </c>
      <c r="K70" s="786" t="s">
        <v>1257</v>
      </c>
      <c r="L70" s="786">
        <v>8.64</v>
      </c>
      <c r="M70" s="858"/>
      <c r="N70" s="858"/>
      <c r="O70" s="388">
        <f>P70/(0.001*0.9*365)</f>
        <v>2776255.7077625571</v>
      </c>
      <c r="P70" s="860">
        <v>912000</v>
      </c>
      <c r="Q70" s="1491" t="s">
        <v>1444</v>
      </c>
      <c r="R70" s="859"/>
      <c r="S70" s="1467">
        <f>P70/0.112194</f>
        <v>8128776.9399433127</v>
      </c>
      <c r="T70" s="858"/>
      <c r="U70" s="858"/>
      <c r="V70" s="314"/>
      <c r="W70" s="1231" t="s">
        <v>752</v>
      </c>
      <c r="X70" s="316"/>
      <c r="Y70" s="1332" t="s">
        <v>749</v>
      </c>
    </row>
    <row r="71" spans="1:25" ht="51" customHeight="1">
      <c r="A71" s="1226" t="s">
        <v>96</v>
      </c>
      <c r="B71" s="1224" t="s">
        <v>1195</v>
      </c>
      <c r="C71" s="1227" t="s">
        <v>1198</v>
      </c>
      <c r="D71" s="1229" t="s">
        <v>1199</v>
      </c>
      <c r="E71" s="1229">
        <v>455</v>
      </c>
      <c r="F71" s="1227" t="s">
        <v>949</v>
      </c>
      <c r="G71" s="1235" t="s">
        <v>175</v>
      </c>
      <c r="H71" s="1227" t="s">
        <v>1196</v>
      </c>
      <c r="I71" s="1240" t="s">
        <v>135</v>
      </c>
      <c r="J71" s="1229" t="s">
        <v>1197</v>
      </c>
      <c r="K71" s="1227" t="s">
        <v>1200</v>
      </c>
      <c r="L71" s="1229">
        <v>1.08</v>
      </c>
      <c r="M71" s="1229">
        <v>1.08</v>
      </c>
      <c r="N71" s="1227"/>
      <c r="O71" s="404">
        <f>L71*0.6*1000000</f>
        <v>648000</v>
      </c>
      <c r="P71" s="404">
        <f>O71*0.001*365*0.9</f>
        <v>212868</v>
      </c>
      <c r="Q71" s="1249" t="s">
        <v>1443</v>
      </c>
      <c r="R71" s="1227"/>
      <c r="S71" s="1468"/>
      <c r="T71" s="1227"/>
      <c r="U71" s="1227"/>
      <c r="V71" s="1227"/>
      <c r="W71" s="1256" t="s">
        <v>174</v>
      </c>
      <c r="X71" s="1257" t="s">
        <v>27</v>
      </c>
      <c r="Y71" s="1223"/>
    </row>
    <row r="72" spans="1:25" ht="112.5" customHeight="1">
      <c r="A72" s="785" t="s">
        <v>96</v>
      </c>
      <c r="B72" s="347" t="s">
        <v>860</v>
      </c>
      <c r="C72" s="1349" t="s">
        <v>861</v>
      </c>
      <c r="D72" s="1230">
        <v>10154648</v>
      </c>
      <c r="E72" s="1231">
        <v>727</v>
      </c>
      <c r="F72" s="858" t="s">
        <v>1168</v>
      </c>
      <c r="G72" s="840" t="s">
        <v>862</v>
      </c>
      <c r="H72" s="786" t="s">
        <v>863</v>
      </c>
      <c r="I72" s="966" t="s">
        <v>135</v>
      </c>
      <c r="J72" s="786" t="s">
        <v>864</v>
      </c>
      <c r="K72" s="1231" t="s">
        <v>1685</v>
      </c>
      <c r="L72" s="385">
        <v>5.76</v>
      </c>
      <c r="M72" s="1231">
        <v>5.76</v>
      </c>
      <c r="N72" s="1246" t="s">
        <v>1169</v>
      </c>
      <c r="O72" s="1474">
        <f>5760000*0.6</f>
        <v>3456000</v>
      </c>
      <c r="P72" s="1478">
        <f>O72*0.001*365*0.9</f>
        <v>1135296</v>
      </c>
      <c r="Q72" s="1490" t="s">
        <v>1444</v>
      </c>
      <c r="R72" s="859" t="s">
        <v>38</v>
      </c>
      <c r="S72" s="1469"/>
      <c r="T72" s="1479">
        <f>P72/0.112194</f>
        <v>10119043.799133644</v>
      </c>
      <c r="U72" s="858" t="s">
        <v>38</v>
      </c>
      <c r="V72" s="522">
        <v>402320</v>
      </c>
      <c r="W72" s="786" t="s">
        <v>1170</v>
      </c>
      <c r="X72" s="786" t="s">
        <v>27</v>
      </c>
      <c r="Y72" s="316" t="s">
        <v>859</v>
      </c>
    </row>
    <row r="73" spans="1:25" ht="45.75" customHeight="1">
      <c r="A73" s="785" t="s">
        <v>96</v>
      </c>
      <c r="B73" s="1225" t="s">
        <v>1543</v>
      </c>
      <c r="C73" s="827" t="s">
        <v>781</v>
      </c>
      <c r="D73" s="1348">
        <v>5968841</v>
      </c>
      <c r="E73" s="329"/>
      <c r="F73" s="329"/>
      <c r="G73" s="331" t="s">
        <v>387</v>
      </c>
      <c r="H73" s="329" t="s">
        <v>115</v>
      </c>
      <c r="I73" s="955" t="s">
        <v>135</v>
      </c>
      <c r="J73" s="820" t="s">
        <v>782</v>
      </c>
      <c r="K73" s="820" t="s">
        <v>1684</v>
      </c>
      <c r="L73" s="849">
        <v>2.0099999999999998</v>
      </c>
      <c r="M73" s="329"/>
      <c r="N73" s="329"/>
      <c r="O73" s="208">
        <f>P73/(0.001*365*0.9)</f>
        <v>1038334.8554033485</v>
      </c>
      <c r="P73" s="208">
        <v>341093</v>
      </c>
      <c r="Q73" s="937" t="s">
        <v>1444</v>
      </c>
      <c r="R73" s="305"/>
      <c r="S73" s="208">
        <f>P73/0.112194</f>
        <v>3040207.1412018468</v>
      </c>
      <c r="T73" s="821">
        <v>9600000</v>
      </c>
      <c r="U73" s="305" t="s">
        <v>39</v>
      </c>
      <c r="V73" s="821">
        <v>500000</v>
      </c>
      <c r="W73" s="305" t="s">
        <v>783</v>
      </c>
      <c r="X73" s="305" t="s">
        <v>27</v>
      </c>
      <c r="Y73" s="827" t="s">
        <v>780</v>
      </c>
    </row>
    <row r="74" spans="1:25" ht="48.75" customHeight="1">
      <c r="A74" s="280" t="s">
        <v>96</v>
      </c>
      <c r="B74" s="819" t="s">
        <v>785</v>
      </c>
      <c r="C74" s="376" t="s">
        <v>1264</v>
      </c>
      <c r="D74" s="281">
        <v>35199268</v>
      </c>
      <c r="E74" s="821">
        <v>3835</v>
      </c>
      <c r="F74" s="329"/>
      <c r="G74" s="331" t="s">
        <v>251</v>
      </c>
      <c r="H74" s="330" t="s">
        <v>123</v>
      </c>
      <c r="I74" s="955" t="s">
        <v>135</v>
      </c>
      <c r="J74" s="820" t="s">
        <v>645</v>
      </c>
      <c r="K74" s="330" t="s">
        <v>786</v>
      </c>
      <c r="L74" s="385">
        <v>10.8</v>
      </c>
      <c r="M74" s="329"/>
      <c r="N74" s="329"/>
      <c r="O74" s="208">
        <f>P74/(0.001*365*0.9)</f>
        <v>3443987.8234398779</v>
      </c>
      <c r="P74" s="327">
        <v>1131350</v>
      </c>
      <c r="Q74" s="1250" t="s">
        <v>1444</v>
      </c>
      <c r="R74" s="568"/>
      <c r="S74" s="1212">
        <f>P74/0.112194</f>
        <v>10083872.577856213</v>
      </c>
      <c r="T74" s="1254">
        <v>12054784</v>
      </c>
      <c r="U74" s="307" t="s">
        <v>66</v>
      </c>
      <c r="V74" s="307"/>
      <c r="W74" s="349"/>
      <c r="X74" s="361" t="s">
        <v>27</v>
      </c>
      <c r="Y74" s="820" t="s">
        <v>784</v>
      </c>
    </row>
    <row r="75" spans="1:25" ht="27.75" customHeight="1">
      <c r="A75" s="202" t="s">
        <v>96</v>
      </c>
      <c r="B75" s="296" t="s">
        <v>1205</v>
      </c>
      <c r="C75" s="200" t="s">
        <v>744</v>
      </c>
      <c r="D75" s="281">
        <v>21875777</v>
      </c>
      <c r="E75" s="572"/>
      <c r="F75" s="1234" t="s">
        <v>1206</v>
      </c>
      <c r="G75" s="1236" t="s">
        <v>251</v>
      </c>
      <c r="H75" s="1234" t="s">
        <v>115</v>
      </c>
      <c r="I75" s="1241" t="s">
        <v>135</v>
      </c>
      <c r="J75" s="200" t="s">
        <v>511</v>
      </c>
      <c r="K75" s="200" t="s">
        <v>851</v>
      </c>
      <c r="L75" s="285">
        <v>5.5819999999999999</v>
      </c>
      <c r="M75" s="1234"/>
      <c r="N75" s="1234"/>
      <c r="O75" s="208">
        <f>5410000*0.6</f>
        <v>3246000</v>
      </c>
      <c r="P75" s="208">
        <f>O75*(0.001*365*0.9)</f>
        <v>1066311</v>
      </c>
      <c r="Q75" s="933" t="s">
        <v>1444</v>
      </c>
      <c r="R75" s="822" t="s">
        <v>27</v>
      </c>
      <c r="S75" s="208">
        <f>P75/0.112194</f>
        <v>9504171.3460612874</v>
      </c>
      <c r="T75" s="572"/>
      <c r="U75" s="572"/>
      <c r="V75" s="281">
        <v>323000</v>
      </c>
      <c r="W75" s="572"/>
      <c r="X75" s="209" t="s">
        <v>27</v>
      </c>
      <c r="Y75" s="199"/>
    </row>
    <row r="76" spans="1:25" ht="37.5" customHeight="1">
      <c r="A76" s="436" t="s">
        <v>96</v>
      </c>
      <c r="B76" s="296" t="s">
        <v>1207</v>
      </c>
      <c r="C76" s="200" t="s">
        <v>1289</v>
      </c>
      <c r="D76" s="837"/>
      <c r="E76" s="837"/>
      <c r="F76" s="837" t="s">
        <v>1290</v>
      </c>
      <c r="G76" s="889" t="s">
        <v>251</v>
      </c>
      <c r="H76" s="837" t="s">
        <v>1196</v>
      </c>
      <c r="I76" s="198" t="s">
        <v>135</v>
      </c>
      <c r="J76" s="200" t="s">
        <v>511</v>
      </c>
      <c r="K76" s="200" t="s">
        <v>851</v>
      </c>
      <c r="L76" s="285">
        <v>2.8679999999999999</v>
      </c>
      <c r="M76" s="837"/>
      <c r="N76" s="837"/>
      <c r="O76" s="208">
        <f>2868000*0.6</f>
        <v>1720800</v>
      </c>
      <c r="P76" s="388">
        <f>O76*0.001*365*0.9</f>
        <v>565282.80000000005</v>
      </c>
      <c r="Q76" s="933" t="s">
        <v>1444</v>
      </c>
      <c r="R76" s="822" t="s">
        <v>38</v>
      </c>
      <c r="S76" s="1470"/>
      <c r="T76" s="837"/>
      <c r="U76" s="837"/>
      <c r="V76" s="200"/>
      <c r="W76" s="837"/>
      <c r="X76" s="786" t="s">
        <v>27</v>
      </c>
      <c r="Y76" s="199"/>
    </row>
    <row r="77" spans="1:25" ht="68.25" customHeight="1">
      <c r="A77" s="1497" t="s">
        <v>96</v>
      </c>
      <c r="B77" s="1498" t="s">
        <v>1547</v>
      </c>
      <c r="C77" s="1228" t="s">
        <v>740</v>
      </c>
      <c r="D77" s="838">
        <v>5498304</v>
      </c>
      <c r="E77" s="1232" t="s">
        <v>1321</v>
      </c>
      <c r="F77" s="1233" t="s">
        <v>741</v>
      </c>
      <c r="G77" s="1237" t="s">
        <v>148</v>
      </c>
      <c r="H77" s="1239">
        <v>43647</v>
      </c>
      <c r="I77" s="1242" t="s">
        <v>135</v>
      </c>
      <c r="J77" s="1232" t="s">
        <v>1322</v>
      </c>
      <c r="K77" s="1243" t="s">
        <v>1323</v>
      </c>
      <c r="L77" s="1244">
        <v>2.448</v>
      </c>
      <c r="M77" s="1245">
        <v>2.448</v>
      </c>
      <c r="N77" s="1244">
        <v>0</v>
      </c>
      <c r="O77" s="1247">
        <f>1700*60*24*0.55*0.9</f>
        <v>1211760</v>
      </c>
      <c r="P77" s="1248">
        <f>O77*365*967/1000000</f>
        <v>427696.75079999998</v>
      </c>
      <c r="Q77" s="1251" t="s">
        <v>1445</v>
      </c>
      <c r="R77" s="1252" t="s">
        <v>1326</v>
      </c>
      <c r="S77" s="1253">
        <f>P77/0.112194</f>
        <v>3812117.8565698699</v>
      </c>
      <c r="T77" s="1255">
        <f>2500*60*24*0.55*0.9*365*(967/1000000)/0.112194</f>
        <v>5606055.6714262795</v>
      </c>
      <c r="U77" s="1252" t="s">
        <v>1324</v>
      </c>
      <c r="V77" s="705">
        <f>V74*34</f>
        <v>0</v>
      </c>
      <c r="W77" s="1252" t="s">
        <v>1325</v>
      </c>
      <c r="X77" s="1258" t="s">
        <v>27</v>
      </c>
      <c r="Y77" s="573" t="s">
        <v>1327</v>
      </c>
    </row>
    <row r="78" spans="1:25" ht="15.75">
      <c r="A78" s="1310"/>
      <c r="B78" s="615" t="s">
        <v>187</v>
      </c>
      <c r="C78" s="714"/>
      <c r="D78" s="714"/>
      <c r="E78" s="714"/>
      <c r="F78" s="714"/>
      <c r="G78" s="970"/>
      <c r="H78" s="714"/>
      <c r="I78" s="714"/>
      <c r="J78" s="714"/>
      <c r="K78" s="714"/>
      <c r="L78" s="714"/>
      <c r="M78" s="714"/>
      <c r="N78" s="714"/>
      <c r="O78" s="714"/>
      <c r="P78" s="714"/>
      <c r="Q78" s="943"/>
      <c r="R78" s="714"/>
      <c r="S78" s="1471"/>
      <c r="T78" s="714"/>
      <c r="U78" s="714"/>
      <c r="V78" s="714"/>
      <c r="W78" s="714"/>
      <c r="X78" s="714"/>
      <c r="Y78" s="1311"/>
    </row>
    <row r="79" spans="1:25" s="493" customFormat="1" ht="87.75" customHeight="1">
      <c r="A79" s="707" t="s">
        <v>1441</v>
      </c>
      <c r="B79" s="706" t="s">
        <v>806</v>
      </c>
      <c r="C79" s="393" t="s">
        <v>807</v>
      </c>
      <c r="D79" s="708">
        <v>15000000</v>
      </c>
      <c r="E79" s="393"/>
      <c r="F79" s="393" t="s">
        <v>424</v>
      </c>
      <c r="G79" s="709" t="s">
        <v>50</v>
      </c>
      <c r="H79" s="1259">
        <v>40086</v>
      </c>
      <c r="I79" s="713" t="s">
        <v>135</v>
      </c>
      <c r="J79" s="393" t="s">
        <v>808</v>
      </c>
      <c r="K79" s="393" t="s">
        <v>809</v>
      </c>
      <c r="L79" s="393">
        <v>0.124</v>
      </c>
      <c r="M79" s="393"/>
      <c r="N79" s="393"/>
      <c r="O79" s="1473">
        <f>P79/0.001/365/0.9</f>
        <v>3600000</v>
      </c>
      <c r="P79" s="711">
        <v>1182600</v>
      </c>
      <c r="Q79" s="707" t="s">
        <v>1446</v>
      </c>
      <c r="R79" s="827"/>
      <c r="S79" s="352">
        <f>P79/0.112194</f>
        <v>10540670.624097545</v>
      </c>
      <c r="T79" s="710"/>
      <c r="U79" s="712" t="s">
        <v>810</v>
      </c>
      <c r="V79" s="393"/>
      <c r="W79" s="393" t="s">
        <v>807</v>
      </c>
      <c r="X79" s="393"/>
      <c r="Y79" s="393" t="s">
        <v>1686</v>
      </c>
    </row>
    <row r="80" spans="1:25" ht="57.75" customHeight="1">
      <c r="A80" s="565" t="s">
        <v>194</v>
      </c>
      <c r="B80" s="535" t="s">
        <v>812</v>
      </c>
      <c r="C80" s="345" t="s">
        <v>813</v>
      </c>
      <c r="D80" s="575">
        <v>31000000</v>
      </c>
      <c r="E80" s="345"/>
      <c r="F80" s="345" t="s">
        <v>814</v>
      </c>
      <c r="G80" s="829" t="s">
        <v>50</v>
      </c>
      <c r="H80" s="536">
        <v>39424</v>
      </c>
      <c r="I80" s="787" t="s">
        <v>135</v>
      </c>
      <c r="J80" s="345" t="s">
        <v>815</v>
      </c>
      <c r="K80" s="345" t="s">
        <v>816</v>
      </c>
      <c r="L80" s="577">
        <v>0.85699999999999998</v>
      </c>
      <c r="M80" s="345"/>
      <c r="N80" s="345"/>
      <c r="O80" s="338"/>
      <c r="P80" s="394"/>
      <c r="Q80" s="785" t="s">
        <v>1444</v>
      </c>
      <c r="R80" s="345"/>
      <c r="S80" s="338"/>
      <c r="T80" s="309"/>
      <c r="U80" s="309"/>
      <c r="V80" s="345"/>
      <c r="W80" s="345"/>
      <c r="X80" s="345"/>
      <c r="Y80" s="345" t="s">
        <v>811</v>
      </c>
    </row>
    <row r="81" spans="1:29" ht="30" customHeight="1">
      <c r="A81" s="565" t="s">
        <v>194</v>
      </c>
      <c r="B81" s="535" t="s">
        <v>818</v>
      </c>
      <c r="C81" s="345" t="s">
        <v>819</v>
      </c>
      <c r="D81" s="575">
        <v>123000000</v>
      </c>
      <c r="E81" s="345"/>
      <c r="F81" s="345" t="s">
        <v>820</v>
      </c>
      <c r="G81" s="829" t="s">
        <v>50</v>
      </c>
      <c r="H81" s="536">
        <v>34243</v>
      </c>
      <c r="I81" s="787" t="s">
        <v>135</v>
      </c>
      <c r="J81" s="345" t="s">
        <v>819</v>
      </c>
      <c r="K81" s="345" t="s">
        <v>821</v>
      </c>
      <c r="L81" s="577">
        <v>0.36</v>
      </c>
      <c r="M81" s="345"/>
      <c r="N81" s="345"/>
      <c r="O81" s="338"/>
      <c r="P81" s="394"/>
      <c r="Q81" s="785" t="s">
        <v>1444</v>
      </c>
      <c r="R81" s="345"/>
      <c r="S81" s="338"/>
      <c r="T81" s="309"/>
      <c r="U81" s="309"/>
      <c r="V81" s="345"/>
      <c r="W81" s="345"/>
      <c r="X81" s="345"/>
      <c r="Y81" s="345" t="s">
        <v>817</v>
      </c>
    </row>
    <row r="82" spans="1:29" ht="55.5">
      <c r="A82" s="389" t="s">
        <v>190</v>
      </c>
      <c r="B82" s="377" t="s">
        <v>823</v>
      </c>
      <c r="C82" s="376" t="s">
        <v>497</v>
      </c>
      <c r="D82" s="396">
        <v>9250000</v>
      </c>
      <c r="E82" s="376"/>
      <c r="F82" s="376" t="s">
        <v>824</v>
      </c>
      <c r="G82" s="390" t="s">
        <v>50</v>
      </c>
      <c r="H82" s="376"/>
      <c r="I82" s="400" t="s">
        <v>135</v>
      </c>
      <c r="J82" s="820" t="s">
        <v>825</v>
      </c>
      <c r="K82" s="376" t="s">
        <v>826</v>
      </c>
      <c r="L82" s="402"/>
      <c r="M82" s="376"/>
      <c r="N82" s="376"/>
      <c r="O82" s="392">
        <f>P82/(0.001*0.9*365)</f>
        <v>1340805.313408053</v>
      </c>
      <c r="P82" s="398">
        <v>440454.54545454547</v>
      </c>
      <c r="Q82" s="389" t="s">
        <v>1444</v>
      </c>
      <c r="R82" s="376"/>
      <c r="S82" s="392">
        <f>P82/0.112194</f>
        <v>3925829.7721317136</v>
      </c>
      <c r="T82" s="403"/>
      <c r="U82" s="346"/>
      <c r="V82" s="376"/>
      <c r="W82" s="353"/>
      <c r="X82" s="345"/>
      <c r="Y82" s="278" t="s">
        <v>822</v>
      </c>
    </row>
    <row r="83" spans="1:29" ht="48.75" customHeight="1">
      <c r="A83" s="389" t="s">
        <v>190</v>
      </c>
      <c r="B83" s="377" t="s">
        <v>828</v>
      </c>
      <c r="C83" s="700" t="s">
        <v>829</v>
      </c>
      <c r="D83" s="396">
        <v>4750000</v>
      </c>
      <c r="E83" s="376"/>
      <c r="F83" s="376" t="s">
        <v>830</v>
      </c>
      <c r="G83" s="390" t="s">
        <v>50</v>
      </c>
      <c r="H83" s="376"/>
      <c r="I83" s="400" t="s">
        <v>135</v>
      </c>
      <c r="J83" s="376" t="s">
        <v>831</v>
      </c>
      <c r="K83" s="389"/>
      <c r="L83" s="376"/>
      <c r="M83" s="376"/>
      <c r="N83" s="376"/>
      <c r="O83" s="392"/>
      <c r="P83" s="398"/>
      <c r="Q83" s="389" t="s">
        <v>1446</v>
      </c>
      <c r="R83" s="376"/>
      <c r="S83" s="392"/>
      <c r="T83" s="346"/>
      <c r="U83" s="724"/>
      <c r="V83" s="700"/>
      <c r="W83" s="701"/>
      <c r="X83" s="827"/>
      <c r="Y83" s="820" t="s">
        <v>827</v>
      </c>
    </row>
    <row r="84" spans="1:29" ht="46.5">
      <c r="A84" s="565" t="s">
        <v>194</v>
      </c>
      <c r="B84" s="540" t="s">
        <v>1549</v>
      </c>
      <c r="C84" s="827" t="s">
        <v>798</v>
      </c>
      <c r="D84" s="1499">
        <v>3875822</v>
      </c>
      <c r="E84" s="278"/>
      <c r="F84" s="278" t="s">
        <v>799</v>
      </c>
      <c r="G84" s="282" t="s">
        <v>771</v>
      </c>
      <c r="H84" s="283">
        <v>38279</v>
      </c>
      <c r="I84" s="825" t="s">
        <v>135</v>
      </c>
      <c r="J84" s="278" t="s">
        <v>800</v>
      </c>
      <c r="K84" s="278" t="s">
        <v>801</v>
      </c>
      <c r="L84" s="395">
        <v>0.14000000000000001</v>
      </c>
      <c r="M84" s="278"/>
      <c r="N84" s="278"/>
      <c r="O84" s="305">
        <f>140000*0.6</f>
        <v>84000</v>
      </c>
      <c r="P84" s="307">
        <f>O84*0.001*365*0.9</f>
        <v>27594</v>
      </c>
      <c r="Q84" s="280" t="s">
        <v>1444</v>
      </c>
      <c r="R84" s="278"/>
      <c r="S84" s="305"/>
      <c r="T84" s="533"/>
      <c r="U84" s="548"/>
      <c r="V84" s="345"/>
      <c r="W84" s="345"/>
      <c r="X84" s="567"/>
      <c r="Y84" s="278" t="s">
        <v>797</v>
      </c>
    </row>
    <row r="85" spans="1:29" ht="19.5">
      <c r="A85" s="389" t="s">
        <v>190</v>
      </c>
      <c r="B85" s="377" t="s">
        <v>802</v>
      </c>
      <c r="C85" s="376" t="s">
        <v>803</v>
      </c>
      <c r="D85" s="392">
        <v>10000000</v>
      </c>
      <c r="E85" s="376"/>
      <c r="F85" s="376" t="s">
        <v>804</v>
      </c>
      <c r="G85" s="390" t="s">
        <v>593</v>
      </c>
      <c r="H85" s="397">
        <v>35065</v>
      </c>
      <c r="I85" s="400" t="s">
        <v>135</v>
      </c>
      <c r="J85" s="278"/>
      <c r="K85" s="576" t="s">
        <v>805</v>
      </c>
      <c r="L85" s="578">
        <v>0.1</v>
      </c>
      <c r="M85" s="376"/>
      <c r="N85" s="376"/>
      <c r="O85" s="392"/>
      <c r="P85" s="398"/>
      <c r="Q85" s="389" t="s">
        <v>1444</v>
      </c>
      <c r="R85" s="376"/>
      <c r="S85" s="392"/>
      <c r="T85" s="346"/>
      <c r="U85" s="346"/>
      <c r="V85" s="376"/>
      <c r="W85" s="353"/>
      <c r="X85" s="345"/>
      <c r="Y85" s="376"/>
    </row>
    <row r="86" spans="1:29" ht="37.5" customHeight="1">
      <c r="A86" s="280" t="s">
        <v>194</v>
      </c>
      <c r="B86" s="279" t="s">
        <v>833</v>
      </c>
      <c r="C86" s="278" t="s">
        <v>497</v>
      </c>
      <c r="D86" s="305">
        <v>3507270</v>
      </c>
      <c r="E86" s="278"/>
      <c r="F86" s="278" t="s">
        <v>644</v>
      </c>
      <c r="G86" s="282" t="s">
        <v>387</v>
      </c>
      <c r="H86" s="283">
        <v>39630</v>
      </c>
      <c r="I86" s="825" t="s">
        <v>135</v>
      </c>
      <c r="J86" s="278" t="s">
        <v>834</v>
      </c>
      <c r="K86" s="278" t="s">
        <v>835</v>
      </c>
      <c r="L86" s="285">
        <v>1.18</v>
      </c>
      <c r="M86" s="285">
        <v>1.18</v>
      </c>
      <c r="N86" s="278"/>
      <c r="O86" s="305">
        <v>991000</v>
      </c>
      <c r="P86" s="307">
        <v>325543.5</v>
      </c>
      <c r="Q86" s="280" t="s">
        <v>1443</v>
      </c>
      <c r="R86" s="278"/>
      <c r="S86" s="305">
        <v>2901612</v>
      </c>
      <c r="T86" s="284"/>
      <c r="U86" s="304"/>
      <c r="V86" s="278"/>
      <c r="W86" s="278" t="s">
        <v>836</v>
      </c>
      <c r="X86" s="308"/>
      <c r="Y86" s="278" t="s">
        <v>832</v>
      </c>
    </row>
    <row r="87" spans="1:29" ht="50.25" customHeight="1">
      <c r="A87" s="280" t="s">
        <v>1441</v>
      </c>
      <c r="B87" s="319" t="s">
        <v>838</v>
      </c>
      <c r="C87" s="318" t="s">
        <v>688</v>
      </c>
      <c r="D87" s="360"/>
      <c r="E87" s="318"/>
      <c r="F87" s="318" t="s">
        <v>839</v>
      </c>
      <c r="G87" s="777" t="s">
        <v>121</v>
      </c>
      <c r="H87" s="542" t="s">
        <v>840</v>
      </c>
      <c r="I87" s="321" t="s">
        <v>135</v>
      </c>
      <c r="J87" s="318" t="s">
        <v>841</v>
      </c>
      <c r="K87" s="318" t="s">
        <v>842</v>
      </c>
      <c r="L87" s="601"/>
      <c r="M87" s="318"/>
      <c r="N87" s="318"/>
      <c r="O87" s="360">
        <v>4320000</v>
      </c>
      <c r="P87" s="715">
        <v>28500</v>
      </c>
      <c r="Q87" s="775" t="s">
        <v>1447</v>
      </c>
      <c r="R87" s="318"/>
      <c r="S87" s="360">
        <f>P87/0.112194</f>
        <v>254024.27937322852</v>
      </c>
      <c r="T87" s="320"/>
      <c r="U87" s="320" t="s">
        <v>843</v>
      </c>
      <c r="V87" s="318"/>
      <c r="W87" s="318"/>
      <c r="X87" s="336"/>
      <c r="Y87" s="318" t="s">
        <v>837</v>
      </c>
    </row>
    <row r="88" spans="1:29">
      <c r="A88" s="719"/>
      <c r="B88" s="719"/>
      <c r="C88" s="718"/>
      <c r="D88" s="720"/>
      <c r="E88" s="718"/>
      <c r="F88" s="718"/>
      <c r="G88" s="721"/>
      <c r="H88" s="722"/>
      <c r="I88" s="723"/>
      <c r="J88" s="718"/>
      <c r="K88" s="718"/>
      <c r="L88" s="718"/>
      <c r="M88" s="718"/>
      <c r="N88" s="718"/>
      <c r="O88" s="720"/>
      <c r="P88" s="720"/>
      <c r="Q88" s="944"/>
      <c r="R88" s="718"/>
      <c r="S88" s="720"/>
      <c r="T88" s="723"/>
      <c r="U88" s="723"/>
      <c r="V88" s="720"/>
      <c r="W88" s="718"/>
      <c r="X88" s="718"/>
      <c r="Y88" s="716"/>
    </row>
    <row r="89" spans="1:29">
      <c r="G89" s="971"/>
      <c r="I89"/>
      <c r="Q89" s="503"/>
      <c r="Y89" s="1333"/>
    </row>
    <row r="90" spans="1:29" ht="15.75">
      <c r="A90" s="725"/>
      <c r="B90" s="726"/>
      <c r="C90" s="725"/>
      <c r="D90" s="725"/>
      <c r="E90" s="725"/>
      <c r="F90" s="725"/>
      <c r="G90" s="972"/>
      <c r="H90" s="725"/>
      <c r="I90" s="725"/>
      <c r="J90" s="725"/>
      <c r="K90" s="725"/>
      <c r="L90" s="725"/>
      <c r="M90" s="725"/>
      <c r="N90" s="725"/>
      <c r="O90" s="725"/>
      <c r="P90" s="725"/>
      <c r="Q90" s="725"/>
      <c r="R90" s="725"/>
      <c r="S90" s="725"/>
      <c r="T90" s="725"/>
      <c r="U90" s="725"/>
      <c r="V90" s="725"/>
      <c r="W90" s="725"/>
      <c r="X90" s="725"/>
      <c r="Y90" s="1334"/>
    </row>
    <row r="91" spans="1:29">
      <c r="A91" s="730"/>
      <c r="B91" s="729"/>
      <c r="C91" s="728"/>
      <c r="D91" s="727"/>
      <c r="E91" s="727"/>
      <c r="F91" s="728"/>
      <c r="G91" s="731"/>
      <c r="H91" s="727"/>
      <c r="I91" s="727"/>
      <c r="J91" s="728"/>
      <c r="K91" s="727"/>
      <c r="L91" s="727"/>
      <c r="M91" s="727"/>
      <c r="N91" s="727"/>
      <c r="O91" s="727"/>
      <c r="P91" s="727"/>
      <c r="Q91" s="945"/>
      <c r="R91" s="727"/>
      <c r="S91" s="727"/>
      <c r="T91" s="727"/>
      <c r="U91" s="727"/>
      <c r="V91" s="727"/>
      <c r="W91" s="727"/>
      <c r="X91" s="727"/>
      <c r="Y91" s="727"/>
    </row>
    <row r="92" spans="1:29">
      <c r="A92" s="719"/>
      <c r="B92" s="732"/>
      <c r="C92" s="733"/>
      <c r="D92" s="734"/>
      <c r="E92" s="734"/>
      <c r="F92" s="734"/>
      <c r="G92" s="721"/>
      <c r="H92" s="718"/>
      <c r="I92" s="718"/>
      <c r="J92" s="718"/>
      <c r="K92" s="734"/>
      <c r="L92" s="734"/>
      <c r="M92" s="735"/>
      <c r="N92" s="735"/>
      <c r="O92" s="720"/>
      <c r="P92" s="720"/>
      <c r="Q92" s="946"/>
      <c r="R92" s="720"/>
      <c r="S92" s="720"/>
      <c r="T92" s="735"/>
      <c r="U92" s="735"/>
      <c r="V92" s="735"/>
      <c r="W92" s="735"/>
      <c r="X92" s="717"/>
      <c r="Y92" s="718"/>
    </row>
    <row r="93" spans="1:29" s="832" customFormat="1">
      <c r="A93" s="719"/>
      <c r="B93" s="732"/>
      <c r="C93" s="733"/>
      <c r="D93" s="734"/>
      <c r="E93" s="734"/>
      <c r="F93" s="734"/>
      <c r="G93" s="721"/>
      <c r="H93" s="718"/>
      <c r="I93" s="718"/>
      <c r="J93" s="718"/>
      <c r="K93" s="734"/>
      <c r="L93" s="734"/>
      <c r="M93" s="735"/>
      <c r="N93" s="735"/>
      <c r="O93" s="720"/>
      <c r="P93" s="720"/>
      <c r="Q93" s="946"/>
      <c r="R93" s="720"/>
      <c r="S93" s="720"/>
      <c r="T93" s="735"/>
      <c r="U93" s="735"/>
      <c r="V93" s="735"/>
      <c r="W93" s="735"/>
      <c r="X93" s="717"/>
      <c r="Y93" s="718"/>
    </row>
    <row r="94" spans="1:29" s="832" customFormat="1" ht="109.5">
      <c r="A94" s="707" t="s">
        <v>194</v>
      </c>
      <c r="B94" s="535" t="s">
        <v>853</v>
      </c>
      <c r="C94" s="827" t="s">
        <v>854</v>
      </c>
      <c r="D94" s="386">
        <v>12723765</v>
      </c>
      <c r="E94" s="827"/>
      <c r="F94" s="827" t="s">
        <v>855</v>
      </c>
      <c r="G94" s="829" t="s">
        <v>681</v>
      </c>
      <c r="H94" s="536">
        <v>39904</v>
      </c>
      <c r="I94" s="536"/>
      <c r="J94" s="827" t="s">
        <v>856</v>
      </c>
      <c r="K94" s="827" t="s">
        <v>857</v>
      </c>
      <c r="L94" s="603">
        <v>1.44</v>
      </c>
      <c r="M94" s="603">
        <v>1.58</v>
      </c>
      <c r="N94" s="827"/>
      <c r="O94" s="388">
        <f>P94/(365*0.001*0.9)</f>
        <v>400000</v>
      </c>
      <c r="P94" s="846">
        <v>131400</v>
      </c>
      <c r="Q94" s="785" t="s">
        <v>1443</v>
      </c>
      <c r="R94" s="827"/>
      <c r="S94" s="388">
        <f>P94/0.112194</f>
        <v>1171185.6248997273</v>
      </c>
      <c r="T94" s="309"/>
      <c r="U94" s="548"/>
      <c r="V94" s="602">
        <v>138510</v>
      </c>
      <c r="W94" s="387" t="s">
        <v>858</v>
      </c>
      <c r="X94" s="827"/>
      <c r="Y94" s="827" t="s">
        <v>852</v>
      </c>
    </row>
    <row r="95" spans="1:29" s="833" customFormat="1"/>
    <row r="96" spans="1:29">
      <c r="A96" s="1"/>
      <c r="B96" s="1"/>
      <c r="C96" s="1"/>
      <c r="D96" s="1"/>
      <c r="E96" s="1"/>
      <c r="F96" s="1"/>
      <c r="G96" s="1"/>
      <c r="H96" s="1"/>
      <c r="I96" s="833"/>
      <c r="J96" s="1"/>
      <c r="K96" s="1"/>
      <c r="L96" s="1"/>
      <c r="M96" s="1"/>
      <c r="N96" s="1"/>
      <c r="O96" s="1"/>
      <c r="P96" s="1"/>
      <c r="Q96" s="1"/>
      <c r="R96" s="1"/>
      <c r="S96" s="1"/>
      <c r="T96" s="1"/>
      <c r="U96" s="1"/>
      <c r="V96" s="1"/>
      <c r="W96" s="1"/>
      <c r="X96" s="1"/>
      <c r="Y96" s="1"/>
      <c r="Z96" s="1"/>
      <c r="AA96" s="1"/>
      <c r="AB96" s="1"/>
      <c r="AC96" s="1"/>
    </row>
    <row r="97" spans="1:29" ht="18.75">
      <c r="A97" s="1"/>
      <c r="B97" s="1666" t="s">
        <v>1664</v>
      </c>
      <c r="C97" s="1666"/>
      <c r="D97" s="1666"/>
      <c r="E97" s="1666"/>
      <c r="F97" s="1666"/>
      <c r="G97" s="1666"/>
      <c r="H97" s="1"/>
      <c r="I97" s="833"/>
      <c r="J97" s="1"/>
      <c r="K97" s="1"/>
      <c r="L97" s="1"/>
      <c r="M97" s="1"/>
      <c r="N97" s="1"/>
      <c r="O97" s="1"/>
      <c r="P97" s="1"/>
      <c r="Q97" s="1"/>
      <c r="R97" s="1"/>
      <c r="S97" s="1"/>
      <c r="T97" s="1"/>
      <c r="U97" s="1"/>
      <c r="V97" s="1"/>
      <c r="W97" s="1"/>
      <c r="X97" s="1"/>
      <c r="Y97" s="1"/>
      <c r="Z97" s="1"/>
      <c r="AA97" s="1"/>
      <c r="AB97" s="1"/>
      <c r="AC97" s="1"/>
    </row>
    <row r="98" spans="1:29">
      <c r="A98" s="1"/>
      <c r="B98" s="1667" t="s">
        <v>46</v>
      </c>
      <c r="C98" s="1667"/>
      <c r="D98" s="1668">
        <v>58</v>
      </c>
      <c r="E98" s="1669"/>
      <c r="F98" s="1669"/>
      <c r="G98" s="1670"/>
      <c r="H98" s="1"/>
      <c r="I98" s="833"/>
      <c r="J98" s="1"/>
      <c r="K98" s="1"/>
      <c r="L98" s="1"/>
      <c r="M98" s="1"/>
      <c r="N98" s="1"/>
      <c r="O98" s="1"/>
      <c r="P98" s="1"/>
      <c r="Q98" s="1"/>
      <c r="R98" s="1"/>
      <c r="S98" s="1"/>
      <c r="T98" s="1"/>
      <c r="U98" s="1"/>
      <c r="V98" s="1"/>
      <c r="W98" s="1"/>
      <c r="X98" s="1"/>
      <c r="Y98" s="1"/>
      <c r="Z98" s="1"/>
      <c r="AA98" s="1"/>
      <c r="AB98" s="1"/>
      <c r="AC98" s="1"/>
    </row>
    <row r="99" spans="1:29">
      <c r="A99" s="1"/>
      <c r="B99" s="1667" t="s">
        <v>277</v>
      </c>
      <c r="C99" s="1667"/>
      <c r="D99" s="1668">
        <v>8</v>
      </c>
      <c r="E99" s="1669"/>
      <c r="F99" s="1669"/>
      <c r="G99" s="1670"/>
      <c r="H99" s="1"/>
      <c r="I99" s="833"/>
      <c r="J99" s="1"/>
      <c r="K99" s="1"/>
      <c r="L99" s="1"/>
      <c r="M99" s="1"/>
      <c r="N99" s="1"/>
      <c r="O99" s="1"/>
      <c r="P99" s="1"/>
      <c r="Q99" s="1"/>
      <c r="R99" s="1"/>
      <c r="S99" s="1"/>
      <c r="T99" s="1"/>
      <c r="U99" s="1"/>
      <c r="V99" s="1"/>
      <c r="W99" s="1"/>
      <c r="X99" s="1"/>
      <c r="Y99" s="1"/>
      <c r="Z99" s="1"/>
      <c r="AA99" s="1"/>
      <c r="AB99" s="1"/>
      <c r="AC99" s="1"/>
    </row>
    <row r="100" spans="1:29">
      <c r="A100" s="1"/>
      <c r="B100" s="1667" t="s">
        <v>278</v>
      </c>
      <c r="C100" s="1667"/>
      <c r="D100" s="1668">
        <v>14</v>
      </c>
      <c r="E100" s="1669"/>
      <c r="F100" s="1669"/>
      <c r="G100" s="1670"/>
      <c r="H100" s="1"/>
      <c r="I100" s="833"/>
      <c r="J100" s="1"/>
      <c r="K100" s="1"/>
      <c r="L100" s="1"/>
      <c r="M100" s="1"/>
      <c r="N100" s="1"/>
      <c r="O100" s="1"/>
      <c r="P100" s="1"/>
      <c r="Q100" s="1"/>
      <c r="R100" s="1"/>
      <c r="S100" s="1"/>
      <c r="T100" s="1"/>
      <c r="U100" s="1"/>
      <c r="V100" s="1"/>
      <c r="W100" s="1"/>
      <c r="X100" s="1"/>
      <c r="Y100" s="1"/>
      <c r="Z100" s="1"/>
      <c r="AA100" s="1"/>
      <c r="AB100" s="1"/>
      <c r="AC100" s="1"/>
    </row>
    <row r="101" spans="1:29">
      <c r="A101" s="1"/>
      <c r="B101" s="1649" t="s">
        <v>279</v>
      </c>
      <c r="C101" s="1649"/>
      <c r="D101" s="1668">
        <v>3</v>
      </c>
      <c r="E101" s="1669"/>
      <c r="F101" s="1669"/>
      <c r="G101" s="1670"/>
      <c r="H101" s="1"/>
      <c r="I101" s="833"/>
      <c r="J101" s="1"/>
      <c r="K101" s="1"/>
      <c r="L101" s="1"/>
      <c r="M101" s="1"/>
      <c r="N101" s="1"/>
      <c r="O101" s="1"/>
      <c r="P101" s="1"/>
      <c r="Q101" s="1"/>
      <c r="R101" s="1"/>
      <c r="S101" s="1"/>
      <c r="T101" s="1"/>
      <c r="U101" s="1"/>
      <c r="V101" s="1"/>
      <c r="W101" s="1"/>
      <c r="X101" s="1"/>
      <c r="Y101" s="1"/>
      <c r="Z101" s="1"/>
      <c r="AA101" s="1"/>
      <c r="AB101" s="1"/>
      <c r="AC101" s="1"/>
    </row>
    <row r="102" spans="1:29" s="832" customFormat="1" ht="15.75" customHeight="1">
      <c r="A102" s="833"/>
      <c r="B102" s="1649" t="s">
        <v>1399</v>
      </c>
      <c r="C102" s="1649"/>
      <c r="D102" s="1668">
        <v>2</v>
      </c>
      <c r="E102" s="1669"/>
      <c r="F102" s="1669"/>
      <c r="G102" s="1670"/>
      <c r="H102" s="833"/>
      <c r="I102" s="833"/>
      <c r="J102" s="833"/>
      <c r="K102" s="833"/>
      <c r="L102" s="833"/>
      <c r="M102" s="833"/>
      <c r="N102" s="833"/>
      <c r="O102" s="833"/>
      <c r="P102" s="833"/>
      <c r="Q102" s="833"/>
      <c r="R102" s="833"/>
      <c r="S102" s="833"/>
      <c r="T102" s="833"/>
      <c r="U102" s="833"/>
      <c r="V102" s="833"/>
      <c r="W102" s="833"/>
      <c r="X102" s="833"/>
      <c r="Y102" s="833"/>
      <c r="Z102" s="833"/>
      <c r="AA102" s="833"/>
      <c r="AB102" s="833"/>
      <c r="AC102" s="833"/>
    </row>
    <row r="103" spans="1:29">
      <c r="A103" s="1"/>
      <c r="B103" s="1649" t="s">
        <v>280</v>
      </c>
      <c r="C103" s="1649"/>
      <c r="D103" s="1668">
        <v>4</v>
      </c>
      <c r="E103" s="1669"/>
      <c r="F103" s="1669"/>
      <c r="G103" s="1670"/>
      <c r="H103" s="1"/>
      <c r="I103" s="833"/>
      <c r="J103" s="1"/>
      <c r="K103" s="1"/>
      <c r="L103" s="1"/>
      <c r="M103" s="1"/>
      <c r="N103" s="1"/>
      <c r="O103" s="1"/>
      <c r="P103" s="1"/>
      <c r="Q103" s="1"/>
      <c r="R103" s="1"/>
      <c r="S103" s="1"/>
      <c r="T103" s="1"/>
      <c r="U103" s="1"/>
      <c r="V103" s="1"/>
      <c r="W103" s="1"/>
      <c r="X103" s="1"/>
      <c r="Y103" s="1"/>
      <c r="Z103" s="1"/>
      <c r="AA103" s="1"/>
      <c r="AB103" s="1"/>
      <c r="AC103" s="1"/>
    </row>
    <row r="104" spans="1:29" s="832" customFormat="1" ht="15.75" customHeight="1">
      <c r="A104" s="833"/>
      <c r="B104" s="1649" t="s">
        <v>1400</v>
      </c>
      <c r="C104" s="1649"/>
      <c r="D104" s="1668">
        <v>0</v>
      </c>
      <c r="E104" s="1669"/>
      <c r="F104" s="1669"/>
      <c r="G104" s="1670"/>
      <c r="H104" s="833"/>
      <c r="I104" s="833"/>
      <c r="J104" s="833"/>
      <c r="K104" s="833"/>
      <c r="L104" s="833"/>
      <c r="M104" s="833"/>
      <c r="N104" s="833"/>
      <c r="O104" s="833"/>
      <c r="P104" s="833"/>
      <c r="Q104" s="833"/>
      <c r="R104" s="833"/>
      <c r="S104" s="833"/>
      <c r="T104" s="833"/>
      <c r="U104" s="833"/>
      <c r="V104" s="833"/>
      <c r="W104" s="833"/>
      <c r="X104" s="833"/>
      <c r="Y104" s="833"/>
      <c r="Z104" s="833"/>
      <c r="AA104" s="833"/>
      <c r="AB104" s="833"/>
      <c r="AC104" s="833"/>
    </row>
    <row r="105" spans="1:29" ht="15.75" customHeight="1">
      <c r="A105" s="1"/>
      <c r="B105" s="1649" t="s">
        <v>1562</v>
      </c>
      <c r="C105" s="1649"/>
      <c r="D105" s="1668">
        <v>89</v>
      </c>
      <c r="E105" s="1669"/>
      <c r="F105" s="1669"/>
      <c r="G105" s="1670"/>
      <c r="H105" s="1"/>
      <c r="I105" s="833"/>
      <c r="J105" s="1"/>
      <c r="K105" s="1"/>
      <c r="L105" s="1"/>
      <c r="M105" s="1"/>
      <c r="N105" s="1"/>
      <c r="O105" s="1"/>
      <c r="P105" s="1"/>
      <c r="Q105" s="1"/>
      <c r="R105" s="1"/>
      <c r="S105" s="1"/>
      <c r="T105" s="1"/>
      <c r="U105" s="1"/>
      <c r="V105" s="1"/>
      <c r="W105" s="1"/>
      <c r="X105" s="1"/>
      <c r="Y105" s="1"/>
      <c r="Z105" s="1"/>
      <c r="AA105" s="1"/>
      <c r="AB105" s="1"/>
      <c r="AC105" s="1"/>
    </row>
    <row r="106" spans="1:29">
      <c r="A106" s="1"/>
      <c r="B106" s="1671"/>
      <c r="C106" s="1672"/>
      <c r="D106" s="1672"/>
      <c r="E106" s="1672"/>
      <c r="F106" s="1672"/>
      <c r="G106" s="1673"/>
      <c r="H106" s="1"/>
      <c r="I106" s="833"/>
      <c r="J106" s="1"/>
      <c r="K106" s="1"/>
      <c r="L106" s="1"/>
      <c r="M106" s="1"/>
      <c r="N106" s="1"/>
      <c r="O106" s="1"/>
      <c r="P106" s="1"/>
      <c r="Q106" s="1"/>
      <c r="R106" s="1"/>
      <c r="S106" s="1"/>
      <c r="T106" s="1"/>
      <c r="U106" s="1"/>
      <c r="V106" s="1"/>
      <c r="W106" s="1"/>
      <c r="X106" s="1"/>
      <c r="Y106" s="1"/>
      <c r="Z106" s="1"/>
      <c r="AA106" s="1"/>
      <c r="AB106" s="1"/>
      <c r="AC106" s="1"/>
    </row>
    <row r="107" spans="1:29" ht="15.75" customHeight="1">
      <c r="A107" s="1"/>
      <c r="B107" s="1636" t="s">
        <v>1564</v>
      </c>
      <c r="C107" s="1636"/>
      <c r="D107" s="1636"/>
      <c r="E107" s="1636"/>
      <c r="F107" s="1636"/>
      <c r="G107" s="1636"/>
      <c r="H107" s="1"/>
      <c r="I107" s="833"/>
      <c r="J107" s="1"/>
      <c r="K107" s="1"/>
      <c r="L107" s="1"/>
      <c r="M107" s="1"/>
      <c r="N107" s="1"/>
      <c r="O107" s="1"/>
      <c r="P107" s="1"/>
      <c r="Q107" s="1"/>
      <c r="R107" s="1"/>
      <c r="S107" s="1"/>
      <c r="T107" s="1"/>
      <c r="U107" s="1"/>
      <c r="V107" s="1"/>
      <c r="W107" s="1"/>
      <c r="X107" s="1"/>
      <c r="Y107" s="1"/>
      <c r="Z107" s="1"/>
      <c r="AA107" s="1"/>
      <c r="AB107" s="1"/>
      <c r="AC107" s="1"/>
    </row>
    <row r="108" spans="1:29" ht="15.75" customHeight="1">
      <c r="A108" s="1"/>
      <c r="B108" s="1684" t="s">
        <v>1531</v>
      </c>
      <c r="C108" s="1684"/>
      <c r="D108" s="1683" t="s">
        <v>1666</v>
      </c>
      <c r="E108" s="1687" t="s">
        <v>1550</v>
      </c>
      <c r="F108" s="1685" t="s">
        <v>1662</v>
      </c>
      <c r="G108" s="1685" t="s">
        <v>1538</v>
      </c>
      <c r="H108" s="1"/>
      <c r="I108" s="1"/>
      <c r="J108" s="1"/>
      <c r="K108" s="1"/>
      <c r="L108" s="1"/>
      <c r="M108" s="1"/>
      <c r="N108" s="1"/>
      <c r="O108" s="1"/>
      <c r="P108" s="1"/>
      <c r="Q108" s="1"/>
      <c r="R108" s="1"/>
      <c r="S108" s="1"/>
      <c r="T108" s="1"/>
      <c r="U108" s="1"/>
      <c r="V108" s="1"/>
      <c r="W108" s="1"/>
      <c r="X108" s="1"/>
      <c r="Y108" s="1"/>
      <c r="Z108" s="1"/>
    </row>
    <row r="109" spans="1:29" ht="21" customHeight="1">
      <c r="A109" s="1"/>
      <c r="B109" s="1684"/>
      <c r="C109" s="1684"/>
      <c r="D109" s="1683"/>
      <c r="E109" s="1688"/>
      <c r="F109" s="1686"/>
      <c r="G109" s="1686"/>
      <c r="H109" s="1"/>
      <c r="I109" s="833"/>
      <c r="J109" s="1"/>
      <c r="K109" s="1"/>
      <c r="L109" s="1"/>
      <c r="M109" s="1"/>
      <c r="N109" s="1"/>
      <c r="O109" s="1"/>
      <c r="P109" s="1"/>
      <c r="Q109" s="1"/>
      <c r="R109" s="1"/>
      <c r="S109" s="1"/>
      <c r="T109" s="1"/>
      <c r="U109" s="1"/>
      <c r="V109" s="1"/>
      <c r="W109" s="1"/>
      <c r="X109" s="1"/>
      <c r="Y109" s="1"/>
      <c r="Z109" s="1"/>
      <c r="AA109" s="1"/>
      <c r="AB109" s="1"/>
      <c r="AC109" s="1"/>
    </row>
    <row r="110" spans="1:29" ht="15" customHeight="1">
      <c r="A110" s="1"/>
      <c r="B110" s="1649" t="s">
        <v>37</v>
      </c>
      <c r="C110" s="1649"/>
      <c r="D110" s="1433">
        <v>27</v>
      </c>
      <c r="E110" s="1408" t="s">
        <v>1527</v>
      </c>
      <c r="F110" s="1435">
        <v>21259562.971092351</v>
      </c>
      <c r="G110" s="1435">
        <v>19982062.971092351</v>
      </c>
      <c r="H110" s="1"/>
      <c r="I110" s="833"/>
      <c r="J110" s="1"/>
      <c r="K110" s="1"/>
      <c r="L110" s="1"/>
      <c r="M110" s="1"/>
      <c r="N110" s="1"/>
      <c r="O110" s="1"/>
      <c r="P110" s="1"/>
      <c r="Q110" s="1"/>
      <c r="R110" s="1"/>
      <c r="S110" s="1"/>
      <c r="T110" s="1"/>
      <c r="U110" s="1"/>
      <c r="V110" s="1"/>
      <c r="W110" s="1"/>
      <c r="X110" s="1"/>
      <c r="Y110" s="1"/>
      <c r="Z110" s="1"/>
      <c r="AA110" s="1"/>
      <c r="AB110" s="1"/>
      <c r="AC110" s="1"/>
    </row>
    <row r="111" spans="1:29" ht="15" customHeight="1">
      <c r="A111" s="1"/>
      <c r="B111" s="1649" t="s">
        <v>284</v>
      </c>
      <c r="C111" s="1649"/>
      <c r="D111" s="1433">
        <v>23</v>
      </c>
      <c r="E111" s="1408" t="s">
        <v>1527</v>
      </c>
      <c r="F111" s="1435">
        <v>15177468.382320002</v>
      </c>
      <c r="G111" s="1435">
        <v>13422292.382320002</v>
      </c>
      <c r="H111" s="1"/>
      <c r="I111" s="833"/>
      <c r="J111" s="1"/>
      <c r="K111" s="1"/>
      <c r="L111" s="1"/>
      <c r="M111" s="1"/>
      <c r="N111" s="1"/>
      <c r="O111" s="1"/>
      <c r="P111" s="1"/>
      <c r="Q111" s="1"/>
      <c r="R111" s="1"/>
      <c r="S111" s="1"/>
      <c r="T111" s="1"/>
      <c r="U111" s="1"/>
      <c r="V111" s="1"/>
      <c r="W111" s="1"/>
      <c r="X111" s="1"/>
      <c r="Y111" s="1"/>
      <c r="Z111" s="1"/>
      <c r="AA111" s="1"/>
      <c r="AB111" s="1"/>
      <c r="AC111" s="1"/>
    </row>
    <row r="112" spans="1:29" ht="15" customHeight="1">
      <c r="A112" s="1"/>
      <c r="B112" s="1649" t="s">
        <v>285</v>
      </c>
      <c r="C112" s="1649"/>
      <c r="D112" s="1433">
        <v>8</v>
      </c>
      <c r="E112" s="1408" t="s">
        <v>1527</v>
      </c>
      <c r="F112" s="1435">
        <v>3882152.335</v>
      </c>
      <c r="G112" s="1435">
        <v>3384797.335</v>
      </c>
      <c r="H112" s="1"/>
      <c r="I112" s="833"/>
      <c r="J112" s="1"/>
      <c r="K112" s="1"/>
      <c r="L112" s="1"/>
      <c r="M112" s="1"/>
      <c r="N112" s="1"/>
      <c r="O112" s="1"/>
      <c r="P112" s="1"/>
      <c r="Q112" s="1"/>
      <c r="R112" s="1"/>
      <c r="S112" s="1"/>
      <c r="T112" s="1"/>
      <c r="U112" s="1"/>
      <c r="V112" s="1"/>
      <c r="W112" s="1"/>
      <c r="X112" s="1"/>
      <c r="Y112" s="1"/>
      <c r="Z112" s="1"/>
      <c r="AA112" s="1"/>
      <c r="AB112" s="1"/>
      <c r="AC112" s="1"/>
    </row>
    <row r="113" spans="1:29" ht="15" customHeight="1">
      <c r="A113" s="1"/>
      <c r="B113" s="1649" t="s">
        <v>133</v>
      </c>
      <c r="C113" s="1649"/>
      <c r="D113" s="1433">
        <v>0</v>
      </c>
      <c r="E113" s="1408" t="s">
        <v>1527</v>
      </c>
      <c r="F113" s="1435">
        <v>0</v>
      </c>
      <c r="G113" s="1435">
        <v>0</v>
      </c>
      <c r="H113" s="1"/>
      <c r="I113" s="833"/>
      <c r="J113" s="1"/>
      <c r="K113" s="1"/>
      <c r="L113" s="1"/>
      <c r="M113" s="1"/>
      <c r="N113" s="1"/>
      <c r="O113" s="1"/>
      <c r="P113" s="1"/>
      <c r="Q113" s="1"/>
      <c r="R113" s="1"/>
      <c r="S113" s="1"/>
      <c r="T113" s="1"/>
      <c r="U113" s="1"/>
      <c r="V113" s="1"/>
      <c r="W113" s="1"/>
      <c r="X113" s="1"/>
      <c r="Y113" s="1"/>
      <c r="Z113" s="1"/>
      <c r="AA113" s="1"/>
      <c r="AB113" s="1"/>
      <c r="AC113" s="1"/>
    </row>
    <row r="114" spans="1:29" ht="15" customHeight="1">
      <c r="A114" s="1"/>
      <c r="B114" s="1649" t="s">
        <v>163</v>
      </c>
      <c r="C114" s="1649"/>
      <c r="D114" s="1433">
        <v>0</v>
      </c>
      <c r="E114" s="1408" t="s">
        <v>1527</v>
      </c>
      <c r="F114" s="1435">
        <v>0</v>
      </c>
      <c r="G114" s="1435">
        <v>0</v>
      </c>
      <c r="H114" s="1"/>
      <c r="I114" s="833"/>
      <c r="J114" s="1"/>
      <c r="K114" s="1"/>
      <c r="L114" s="1"/>
      <c r="M114" s="1"/>
      <c r="N114" s="1"/>
      <c r="O114" s="1"/>
      <c r="P114" s="1"/>
      <c r="Q114" s="1"/>
      <c r="R114" s="1"/>
      <c r="S114" s="1"/>
      <c r="T114" s="1"/>
      <c r="U114" s="1"/>
      <c r="V114" s="1"/>
      <c r="W114" s="1"/>
      <c r="X114" s="1"/>
      <c r="Y114" s="1"/>
      <c r="Z114" s="1"/>
      <c r="AA114" s="1"/>
      <c r="AB114" s="1"/>
      <c r="AC114" s="1"/>
    </row>
    <row r="115" spans="1:29" ht="15" customHeight="1">
      <c r="A115" s="1"/>
      <c r="B115" s="1649" t="s">
        <v>1518</v>
      </c>
      <c r="C115" s="1649"/>
      <c r="D115" s="1433">
        <v>58</v>
      </c>
      <c r="E115" s="1408" t="s">
        <v>1527</v>
      </c>
      <c r="F115" s="1435">
        <v>40319183.688412353</v>
      </c>
      <c r="G115" s="1435">
        <v>36789152.688412353</v>
      </c>
      <c r="H115" s="1"/>
      <c r="I115" s="833"/>
      <c r="J115" s="1"/>
      <c r="K115" s="1"/>
      <c r="L115" s="1"/>
      <c r="M115" s="1"/>
      <c r="N115" s="1"/>
      <c r="O115" s="1"/>
      <c r="P115" s="1"/>
      <c r="Q115" s="1"/>
      <c r="R115" s="1"/>
      <c r="S115" s="1"/>
      <c r="T115" s="1"/>
      <c r="U115" s="1"/>
      <c r="V115" s="1"/>
      <c r="W115" s="1"/>
      <c r="X115" s="1"/>
      <c r="Y115" s="1"/>
      <c r="Z115" s="1"/>
      <c r="AA115" s="1"/>
      <c r="AB115" s="1"/>
      <c r="AC115" s="1"/>
    </row>
    <row r="116" spans="1:29" ht="15" customHeight="1">
      <c r="A116" s="1"/>
      <c r="B116" s="1649" t="s">
        <v>1532</v>
      </c>
      <c r="C116" s="1649"/>
      <c r="D116" s="1433">
        <v>54</v>
      </c>
      <c r="E116" s="1434"/>
      <c r="F116" s="1435"/>
      <c r="G116" s="1432"/>
      <c r="H116" s="1"/>
      <c r="I116" s="833"/>
      <c r="J116" s="1"/>
      <c r="K116" s="1"/>
      <c r="L116" s="1"/>
      <c r="M116" s="1"/>
      <c r="N116" s="1"/>
      <c r="O116" s="1"/>
      <c r="P116" s="1"/>
      <c r="Q116" s="1"/>
      <c r="R116" s="1"/>
      <c r="S116" s="1"/>
      <c r="T116" s="1"/>
      <c r="U116" s="1"/>
      <c r="V116" s="1"/>
      <c r="W116" s="1"/>
      <c r="X116" s="1"/>
      <c r="Y116" s="1"/>
      <c r="Z116" s="1"/>
      <c r="AA116" s="1"/>
      <c r="AB116" s="1"/>
      <c r="AC116" s="1"/>
    </row>
    <row r="117" spans="1:29">
      <c r="A117" s="1"/>
      <c r="B117" s="1680"/>
      <c r="C117" s="1681"/>
      <c r="D117" s="1681"/>
      <c r="E117" s="1681"/>
      <c r="F117" s="1681"/>
      <c r="G117" s="1682"/>
      <c r="H117" s="1"/>
      <c r="I117" s="833"/>
      <c r="J117" s="1"/>
      <c r="K117" s="1"/>
      <c r="L117" s="1"/>
      <c r="M117" s="1"/>
      <c r="N117" s="1"/>
      <c r="O117" s="1"/>
      <c r="P117" s="1"/>
      <c r="Q117" s="1"/>
      <c r="R117" s="1"/>
      <c r="S117" s="1"/>
      <c r="T117" s="1"/>
      <c r="U117" s="1"/>
      <c r="V117" s="1"/>
      <c r="W117" s="1"/>
      <c r="X117" s="1"/>
      <c r="Y117" s="1"/>
      <c r="Z117" s="1"/>
      <c r="AA117" s="1"/>
      <c r="AB117" s="1"/>
      <c r="AC117" s="1"/>
    </row>
    <row r="118" spans="1:29" ht="31.5" customHeight="1">
      <c r="A118" s="1"/>
      <c r="B118" s="1677" t="s">
        <v>1565</v>
      </c>
      <c r="C118" s="1678"/>
      <c r="D118" s="1678"/>
      <c r="E118" s="1679"/>
      <c r="F118" s="1436">
        <v>5791897.5507999994</v>
      </c>
      <c r="G118" s="1422"/>
      <c r="H118" s="1"/>
      <c r="I118" s="833"/>
      <c r="J118" s="1"/>
      <c r="K118" s="1"/>
      <c r="L118" s="1"/>
      <c r="M118" s="1"/>
      <c r="N118" s="1"/>
      <c r="O118" s="1"/>
      <c r="P118" s="1"/>
      <c r="Q118" s="1"/>
      <c r="R118" s="1"/>
      <c r="S118" s="1"/>
      <c r="T118" s="1"/>
      <c r="U118" s="1"/>
      <c r="V118" s="1"/>
      <c r="W118" s="1"/>
      <c r="X118" s="1"/>
      <c r="Y118" s="1"/>
      <c r="Z118" s="1"/>
      <c r="AA118" s="1"/>
      <c r="AB118" s="1"/>
      <c r="AC118" s="1"/>
    </row>
    <row r="119" spans="1:29" s="832" customFormat="1">
      <c r="A119" s="833"/>
      <c r="B119" s="833"/>
      <c r="C119" s="407"/>
      <c r="D119" s="408"/>
      <c r="E119" s="408"/>
      <c r="F119" s="980"/>
      <c r="G119" s="833"/>
      <c r="H119" s="833"/>
      <c r="I119" s="833"/>
      <c r="J119" s="833"/>
      <c r="K119" s="833"/>
      <c r="L119" s="833"/>
      <c r="M119" s="833"/>
      <c r="N119" s="833"/>
      <c r="O119" s="833"/>
      <c r="P119" s="833"/>
      <c r="Q119" s="833"/>
      <c r="R119" s="833"/>
      <c r="S119" s="833"/>
      <c r="T119" s="833"/>
      <c r="U119" s="833"/>
      <c r="V119" s="833"/>
      <c r="W119" s="833"/>
      <c r="X119" s="833"/>
      <c r="Y119" s="833"/>
      <c r="Z119" s="833"/>
      <c r="AA119" s="833"/>
      <c r="AB119" s="833"/>
      <c r="AC119" s="833"/>
    </row>
    <row r="120" spans="1:29" ht="15" customHeight="1">
      <c r="A120" s="1"/>
      <c r="B120" s="1649" t="s">
        <v>1667</v>
      </c>
      <c r="C120" s="1649"/>
      <c r="D120" s="1433">
        <v>16</v>
      </c>
      <c r="E120" s="169" t="s">
        <v>1250</v>
      </c>
      <c r="F120" s="5"/>
      <c r="G120" s="1"/>
      <c r="H120" s="1"/>
      <c r="I120" s="833"/>
      <c r="J120" s="1"/>
      <c r="K120" s="1"/>
      <c r="L120" s="1"/>
      <c r="M120" s="1"/>
      <c r="N120" s="1"/>
      <c r="O120" s="1"/>
      <c r="P120" s="1"/>
      <c r="Q120" s="1"/>
      <c r="R120" s="1"/>
      <c r="S120" s="1"/>
      <c r="T120" s="1"/>
      <c r="U120" s="1"/>
      <c r="V120" s="1"/>
      <c r="W120" s="1"/>
      <c r="X120" s="1"/>
      <c r="Y120" s="1"/>
      <c r="Z120" s="1"/>
      <c r="AA120" s="1"/>
      <c r="AB120" s="1"/>
      <c r="AC120" s="1"/>
    </row>
    <row r="121" spans="1:29" ht="15" customHeight="1">
      <c r="A121" s="1"/>
      <c r="B121" s="1649" t="s">
        <v>1668</v>
      </c>
      <c r="C121" s="1649"/>
      <c r="D121" s="1433">
        <v>2</v>
      </c>
      <c r="E121" s="169" t="s">
        <v>1251</v>
      </c>
      <c r="F121" s="1"/>
      <c r="G121" s="1"/>
      <c r="H121" s="1"/>
      <c r="I121" s="833"/>
      <c r="J121" s="1"/>
      <c r="K121" s="1"/>
      <c r="L121" s="1"/>
      <c r="M121" s="1"/>
      <c r="N121" s="1"/>
      <c r="O121" s="1"/>
      <c r="P121" s="1"/>
      <c r="Q121" s="1"/>
      <c r="R121" s="1"/>
      <c r="S121" s="1"/>
      <c r="T121" s="1"/>
      <c r="U121" s="1"/>
      <c r="V121" s="1"/>
      <c r="W121" s="1"/>
      <c r="X121" s="1"/>
      <c r="Y121" s="1"/>
      <c r="Z121" s="1"/>
      <c r="AA121" s="1"/>
      <c r="AB121" s="1"/>
      <c r="AC121" s="1"/>
    </row>
    <row r="122" spans="1:29" s="832" customFormat="1" ht="15" customHeight="1">
      <c r="A122" s="833"/>
      <c r="B122" s="833"/>
      <c r="C122" s="833"/>
      <c r="D122" s="833"/>
      <c r="E122" s="169"/>
      <c r="F122" s="833"/>
      <c r="G122" s="833"/>
      <c r="H122" s="833"/>
      <c r="I122" s="833"/>
      <c r="J122" s="833"/>
      <c r="K122" s="833"/>
      <c r="L122" s="833"/>
      <c r="M122" s="833"/>
      <c r="N122" s="833"/>
      <c r="O122" s="833"/>
      <c r="P122" s="833"/>
      <c r="Q122" s="833"/>
      <c r="R122" s="833"/>
      <c r="S122" s="833"/>
      <c r="T122" s="833"/>
      <c r="U122" s="833"/>
      <c r="V122" s="833"/>
      <c r="W122" s="833"/>
      <c r="X122" s="833"/>
      <c r="Y122" s="833"/>
      <c r="Z122" s="833"/>
      <c r="AA122" s="833"/>
      <c r="AB122" s="833"/>
      <c r="AC122" s="833"/>
    </row>
    <row r="123" spans="1:29" s="832" customFormat="1" ht="15" customHeight="1">
      <c r="A123" s="833"/>
      <c r="B123" s="833"/>
      <c r="C123" s="833"/>
      <c r="D123" s="833"/>
      <c r="E123" s="169"/>
      <c r="F123" s="833"/>
      <c r="G123" s="833"/>
      <c r="H123" s="833"/>
      <c r="I123" s="833"/>
      <c r="J123" s="833"/>
      <c r="K123" s="833"/>
      <c r="L123" s="833"/>
      <c r="M123" s="833"/>
      <c r="N123" s="833"/>
      <c r="O123" s="833"/>
      <c r="P123" s="833"/>
      <c r="Q123" s="833"/>
      <c r="R123" s="833"/>
      <c r="S123" s="833"/>
      <c r="T123" s="833"/>
      <c r="U123" s="833"/>
      <c r="V123" s="833"/>
      <c r="W123" s="833"/>
      <c r="X123" s="833"/>
      <c r="Y123" s="833"/>
      <c r="Z123" s="833"/>
      <c r="AA123" s="833"/>
      <c r="AB123" s="833"/>
      <c r="AC123" s="833"/>
    </row>
    <row r="124" spans="1:29" ht="15" customHeight="1">
      <c r="A124" s="1"/>
      <c r="B124" s="1675" t="s">
        <v>1559</v>
      </c>
      <c r="C124" s="1676"/>
      <c r="D124" s="1676"/>
      <c r="E124" s="1676"/>
      <c r="F124" s="1676"/>
      <c r="G124" s="1"/>
      <c r="H124" s="833"/>
      <c r="I124" s="1"/>
      <c r="J124" s="1"/>
      <c r="K124" s="1"/>
      <c r="L124" s="1"/>
      <c r="M124" s="1"/>
      <c r="N124" s="1"/>
      <c r="O124" s="1"/>
      <c r="P124" s="1"/>
      <c r="Q124" s="1"/>
      <c r="R124" s="1"/>
      <c r="S124" s="1"/>
      <c r="T124" s="1"/>
      <c r="U124" s="1"/>
      <c r="V124" s="1"/>
      <c r="W124" s="1"/>
      <c r="X124" s="1"/>
      <c r="Y124" s="1"/>
      <c r="Z124" s="1"/>
      <c r="AA124" s="1"/>
      <c r="AB124" s="1"/>
    </row>
    <row r="125" spans="1:29" ht="15" customHeight="1">
      <c r="A125" s="1"/>
      <c r="B125" s="1674" t="s">
        <v>46</v>
      </c>
      <c r="C125" s="1674"/>
      <c r="D125" s="1531">
        <v>0</v>
      </c>
      <c r="E125" s="1525"/>
      <c r="F125" s="1525"/>
      <c r="G125" s="1"/>
      <c r="H125" s="833"/>
      <c r="I125" s="1"/>
      <c r="J125" s="1"/>
      <c r="K125" s="1"/>
      <c r="L125" s="1"/>
      <c r="M125" s="1"/>
      <c r="N125" s="1"/>
      <c r="O125" s="1"/>
      <c r="P125" s="1"/>
      <c r="Q125" s="1"/>
      <c r="R125" s="1"/>
      <c r="S125" s="1"/>
      <c r="T125" s="1"/>
      <c r="U125" s="1"/>
      <c r="V125" s="1"/>
      <c r="W125" s="1"/>
      <c r="X125" s="1"/>
      <c r="Y125" s="1"/>
      <c r="Z125" s="1"/>
      <c r="AA125" s="1"/>
      <c r="AB125" s="1"/>
    </row>
    <row r="126" spans="1:29" ht="15" customHeight="1">
      <c r="A126" s="1"/>
      <c r="B126" s="1674" t="s">
        <v>870</v>
      </c>
      <c r="C126" s="1674"/>
      <c r="D126" s="1531">
        <v>0</v>
      </c>
      <c r="E126" s="1525"/>
      <c r="F126" s="1525"/>
      <c r="G126" s="1"/>
      <c r="H126" s="833"/>
      <c r="I126" s="1"/>
      <c r="J126" s="1"/>
      <c r="K126" s="1"/>
      <c r="L126" s="1"/>
      <c r="M126" s="1"/>
      <c r="N126" s="1"/>
      <c r="O126" s="1"/>
      <c r="P126" s="1"/>
      <c r="Q126" s="1"/>
      <c r="R126" s="1"/>
      <c r="S126" s="1"/>
      <c r="T126" s="1"/>
      <c r="U126" s="1"/>
      <c r="V126" s="1"/>
      <c r="W126" s="1"/>
      <c r="X126" s="1"/>
      <c r="Y126" s="1"/>
      <c r="Z126" s="1"/>
      <c r="AA126" s="1"/>
      <c r="AB126" s="1"/>
    </row>
    <row r="127" spans="1:29" ht="15" customHeight="1">
      <c r="A127" s="1"/>
      <c r="B127" s="1674" t="s">
        <v>278</v>
      </c>
      <c r="C127" s="1674"/>
      <c r="D127" s="1531">
        <v>1</v>
      </c>
      <c r="E127" s="1525"/>
      <c r="F127" s="1525"/>
      <c r="G127" s="1"/>
      <c r="H127" s="833"/>
      <c r="I127" s="1"/>
      <c r="J127" s="1"/>
      <c r="K127" s="1"/>
      <c r="L127" s="1"/>
      <c r="M127" s="1"/>
      <c r="N127" s="1"/>
      <c r="O127" s="1"/>
      <c r="P127" s="1"/>
      <c r="Q127" s="1"/>
      <c r="R127" s="1"/>
      <c r="S127" s="1"/>
      <c r="T127" s="1"/>
      <c r="U127" s="1"/>
      <c r="V127" s="1"/>
      <c r="W127" s="1"/>
      <c r="X127" s="1"/>
      <c r="Y127" s="1"/>
      <c r="Z127" s="1"/>
      <c r="AA127" s="1"/>
      <c r="AB127" s="1"/>
    </row>
    <row r="128" spans="1:29" ht="15" customHeight="1">
      <c r="A128" s="1"/>
      <c r="B128" s="1674" t="s">
        <v>279</v>
      </c>
      <c r="C128" s="1674"/>
      <c r="D128" s="1531">
        <v>0</v>
      </c>
      <c r="E128" s="1525"/>
      <c r="F128" s="1525"/>
      <c r="G128" s="1"/>
      <c r="H128" s="833"/>
      <c r="I128" s="1"/>
      <c r="J128" s="1"/>
      <c r="K128" s="1"/>
      <c r="L128" s="1"/>
      <c r="M128" s="1"/>
      <c r="N128" s="1"/>
      <c r="O128" s="1"/>
      <c r="P128" s="1"/>
      <c r="Q128" s="1"/>
      <c r="R128" s="1"/>
      <c r="S128" s="1"/>
      <c r="T128" s="1"/>
      <c r="U128" s="1"/>
      <c r="V128" s="1"/>
      <c r="W128" s="1"/>
      <c r="X128" s="1"/>
      <c r="Y128" s="1"/>
      <c r="Z128" s="1"/>
      <c r="AA128" s="1"/>
      <c r="AB128" s="1"/>
    </row>
    <row r="129" spans="1:29" s="832" customFormat="1" ht="15" customHeight="1">
      <c r="A129" s="833"/>
      <c r="B129" s="1674" t="s">
        <v>1399</v>
      </c>
      <c r="C129" s="1674"/>
      <c r="D129" s="1531">
        <v>0</v>
      </c>
      <c r="E129" s="1525"/>
      <c r="F129" s="1525"/>
      <c r="G129" s="833"/>
      <c r="H129" s="833"/>
      <c r="I129" s="833"/>
      <c r="J129" s="833"/>
      <c r="K129" s="833"/>
      <c r="L129" s="833"/>
      <c r="M129" s="833"/>
      <c r="N129" s="833"/>
      <c r="O129" s="833"/>
      <c r="P129" s="833"/>
      <c r="Q129" s="833"/>
      <c r="R129" s="833"/>
      <c r="S129" s="833"/>
      <c r="T129" s="833"/>
      <c r="U129" s="833"/>
      <c r="V129" s="833"/>
      <c r="W129" s="833"/>
      <c r="X129" s="833"/>
      <c r="Y129" s="833"/>
      <c r="Z129" s="833"/>
      <c r="AA129" s="833"/>
      <c r="AB129" s="833"/>
    </row>
    <row r="130" spans="1:29" ht="15" customHeight="1">
      <c r="A130" s="1"/>
      <c r="B130" s="1674" t="s">
        <v>280</v>
      </c>
      <c r="C130" s="1674"/>
      <c r="D130" s="1531">
        <v>1</v>
      </c>
      <c r="E130" s="1525"/>
      <c r="F130" s="1525"/>
      <c r="G130" s="1"/>
      <c r="H130" s="833"/>
      <c r="I130" s="1"/>
      <c r="J130" s="1"/>
      <c r="K130" s="1"/>
      <c r="L130" s="1"/>
      <c r="M130" s="1"/>
      <c r="N130" s="1"/>
      <c r="O130" s="1"/>
      <c r="P130" s="1"/>
      <c r="Q130" s="1"/>
      <c r="R130" s="1"/>
      <c r="S130" s="1"/>
      <c r="T130" s="1"/>
      <c r="U130" s="1"/>
      <c r="V130" s="1"/>
      <c r="W130" s="1"/>
      <c r="X130" s="1"/>
      <c r="Y130" s="1"/>
      <c r="Z130" s="1"/>
      <c r="AA130" s="1"/>
      <c r="AB130" s="1"/>
    </row>
    <row r="131" spans="1:29" s="832" customFormat="1" ht="15" customHeight="1">
      <c r="A131" s="833"/>
      <c r="B131" s="1674" t="s">
        <v>1400</v>
      </c>
      <c r="C131" s="1674"/>
      <c r="D131" s="1531">
        <f>COUNTIF($A$88:$A$94,"=shut down; future potential?")</f>
        <v>0</v>
      </c>
      <c r="E131" s="1525"/>
      <c r="F131" s="1525"/>
      <c r="G131" s="833"/>
      <c r="H131" s="833"/>
      <c r="I131" s="833"/>
      <c r="J131" s="833"/>
      <c r="K131" s="833"/>
      <c r="L131" s="833"/>
      <c r="M131" s="833"/>
      <c r="N131" s="833"/>
      <c r="O131" s="833"/>
      <c r="P131" s="833"/>
      <c r="Q131" s="833"/>
      <c r="R131" s="833"/>
      <c r="S131" s="833"/>
      <c r="T131" s="833"/>
      <c r="U131" s="833"/>
      <c r="V131" s="833"/>
      <c r="W131" s="833"/>
      <c r="X131" s="833"/>
      <c r="Y131" s="833"/>
      <c r="Z131" s="833"/>
      <c r="AA131" s="833"/>
      <c r="AB131" s="833"/>
    </row>
    <row r="132" spans="1:29" ht="15" customHeight="1">
      <c r="A132" s="1"/>
      <c r="B132" s="1674" t="s">
        <v>1536</v>
      </c>
      <c r="C132" s="1674"/>
      <c r="D132" s="1531">
        <v>2</v>
      </c>
      <c r="E132" s="1525"/>
      <c r="F132" s="1525"/>
      <c r="G132" s="833"/>
      <c r="H132" s="1"/>
      <c r="I132" s="1"/>
      <c r="J132" s="1"/>
      <c r="K132" s="1"/>
      <c r="L132" s="1"/>
      <c r="M132" s="1"/>
      <c r="N132" s="1"/>
      <c r="O132" s="1"/>
      <c r="P132" s="1"/>
      <c r="Q132" s="1"/>
      <c r="R132" s="1"/>
      <c r="S132" s="1"/>
      <c r="T132" s="1"/>
      <c r="U132" s="1"/>
      <c r="V132" s="1"/>
      <c r="W132" s="1"/>
      <c r="X132" s="1"/>
      <c r="Y132" s="1"/>
      <c r="Z132" s="1"/>
      <c r="AA132" s="1"/>
    </row>
    <row r="133" spans="1:29" ht="15" customHeight="1">
      <c r="A133" s="1"/>
      <c r="B133" s="1526"/>
      <c r="C133" s="1526"/>
      <c r="D133" s="1532"/>
      <c r="E133" s="1527"/>
      <c r="F133" s="1527"/>
      <c r="G133" s="1"/>
      <c r="H133" s="833"/>
      <c r="I133" s="1"/>
      <c r="J133" s="1"/>
      <c r="K133" s="1"/>
      <c r="L133" s="1"/>
      <c r="M133" s="1"/>
      <c r="N133" s="1"/>
      <c r="O133" s="1"/>
      <c r="P133" s="1"/>
      <c r="Q133" s="1"/>
      <c r="R133" s="1"/>
      <c r="S133" s="1"/>
      <c r="T133" s="1"/>
      <c r="U133" s="1"/>
      <c r="V133" s="1"/>
      <c r="W133" s="1"/>
      <c r="X133" s="1"/>
      <c r="Y133" s="1"/>
      <c r="Z133" s="1"/>
      <c r="AA133" s="1"/>
      <c r="AB133" s="1"/>
    </row>
    <row r="134" spans="1:29" s="1417" customFormat="1" ht="15" customHeight="1">
      <c r="A134" s="475"/>
      <c r="B134" s="1629" t="s">
        <v>1533</v>
      </c>
      <c r="C134" s="1629"/>
      <c r="D134" s="1533" t="s">
        <v>1525</v>
      </c>
      <c r="E134" s="1528"/>
      <c r="F134" s="1533" t="s">
        <v>1534</v>
      </c>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475"/>
    </row>
    <row r="135" spans="1:29" s="1417" customFormat="1" ht="15" customHeight="1">
      <c r="A135" s="475"/>
      <c r="B135" s="1674" t="s">
        <v>37</v>
      </c>
      <c r="C135" s="1674"/>
      <c r="D135" s="1534">
        <v>1</v>
      </c>
      <c r="E135" s="1529"/>
      <c r="F135" s="1535">
        <v>0</v>
      </c>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row>
    <row r="136" spans="1:29" s="1417" customFormat="1" ht="15" customHeight="1">
      <c r="A136" s="475"/>
      <c r="B136" s="1674" t="s">
        <v>284</v>
      </c>
      <c r="C136" s="1674"/>
      <c r="D136" s="1534">
        <v>0</v>
      </c>
      <c r="E136" s="1529"/>
      <c r="F136" s="1535">
        <v>0</v>
      </c>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row>
    <row r="137" spans="1:29" s="1417" customFormat="1" ht="15" customHeight="1">
      <c r="A137" s="475"/>
      <c r="B137" s="1674" t="s">
        <v>285</v>
      </c>
      <c r="C137" s="1674"/>
      <c r="D137" s="1534">
        <v>0</v>
      </c>
      <c r="E137" s="1529"/>
      <c r="F137" s="1535">
        <v>0</v>
      </c>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row>
    <row r="138" spans="1:29" s="1417" customFormat="1" ht="15" customHeight="1">
      <c r="A138" s="475"/>
      <c r="B138" s="1674" t="s">
        <v>133</v>
      </c>
      <c r="C138" s="1674"/>
      <c r="D138" s="1534">
        <v>0</v>
      </c>
      <c r="E138" s="1529"/>
      <c r="F138" s="1535">
        <v>0</v>
      </c>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row>
    <row r="139" spans="1:29" s="1417" customFormat="1" ht="15" customHeight="1">
      <c r="A139" s="475"/>
      <c r="B139" s="1674" t="s">
        <v>163</v>
      </c>
      <c r="C139" s="1674"/>
      <c r="D139" s="1534">
        <v>0</v>
      </c>
      <c r="E139" s="1529"/>
      <c r="F139" s="1535">
        <v>0</v>
      </c>
      <c r="G139" s="475"/>
      <c r="H139" s="475"/>
      <c r="I139" s="475"/>
      <c r="J139" s="475"/>
      <c r="K139" s="475"/>
      <c r="L139" s="475"/>
      <c r="M139" s="475"/>
      <c r="N139" s="475"/>
      <c r="O139" s="475"/>
      <c r="P139" s="475"/>
      <c r="Q139" s="475"/>
      <c r="R139" s="475"/>
      <c r="S139" s="475"/>
      <c r="T139" s="475"/>
      <c r="U139" s="475"/>
      <c r="V139" s="475"/>
      <c r="W139" s="475"/>
      <c r="X139" s="475"/>
      <c r="Y139" s="475"/>
      <c r="Z139" s="475"/>
      <c r="AA139" s="475"/>
      <c r="AB139" s="475"/>
    </row>
    <row r="140" spans="1:29">
      <c r="A140" s="1"/>
      <c r="B140" s="1674" t="s">
        <v>1535</v>
      </c>
      <c r="C140" s="1674"/>
      <c r="D140" s="1534">
        <v>1</v>
      </c>
      <c r="E140" s="1530"/>
      <c r="F140" s="1535">
        <v>0</v>
      </c>
      <c r="G140" s="1"/>
      <c r="H140" s="1"/>
      <c r="I140" s="833"/>
      <c r="J140" s="1"/>
      <c r="K140" s="1"/>
      <c r="L140" s="1"/>
      <c r="M140" s="1"/>
      <c r="N140" s="1"/>
      <c r="O140" s="1"/>
      <c r="P140" s="1"/>
      <c r="Q140" s="1"/>
      <c r="R140" s="1"/>
      <c r="S140" s="1"/>
      <c r="T140" s="1"/>
      <c r="U140" s="1"/>
      <c r="V140" s="1"/>
      <c r="W140" s="1"/>
      <c r="X140" s="1"/>
      <c r="Y140" s="1"/>
      <c r="Z140" s="1"/>
      <c r="AA140" s="1"/>
      <c r="AB140" s="1"/>
      <c r="AC140" s="1"/>
    </row>
    <row r="141" spans="1:29">
      <c r="A141" s="1"/>
      <c r="B141" s="1"/>
      <c r="C141" s="1"/>
      <c r="D141" s="1"/>
      <c r="E141" s="1"/>
      <c r="F141" s="1"/>
      <c r="G141" s="1"/>
      <c r="H141" s="1"/>
      <c r="I141" s="833"/>
      <c r="J141" s="1"/>
      <c r="K141" s="1"/>
      <c r="L141" s="1"/>
      <c r="M141" s="1"/>
      <c r="N141" s="1"/>
      <c r="O141" s="1"/>
      <c r="P141" s="1"/>
      <c r="Q141" s="1"/>
      <c r="R141" s="1"/>
      <c r="S141" s="1"/>
      <c r="T141" s="1"/>
      <c r="U141" s="1"/>
      <c r="V141" s="1"/>
      <c r="W141" s="1"/>
      <c r="X141" s="1"/>
      <c r="Y141" s="1"/>
      <c r="Z141" s="1"/>
      <c r="AA141" s="1"/>
      <c r="AB141" s="1"/>
      <c r="AC141" s="1"/>
    </row>
    <row r="142" spans="1:29">
      <c r="B142" s="1"/>
      <c r="C142" s="1"/>
      <c r="D142" s="1"/>
      <c r="E142" s="1"/>
      <c r="F142" s="1"/>
    </row>
  </sheetData>
  <sortState ref="A97:AO105">
    <sortCondition ref="B97:B105"/>
  </sortState>
  <mergeCells count="53">
    <mergeCell ref="B112:C112"/>
    <mergeCell ref="B113:C113"/>
    <mergeCell ref="B114:C114"/>
    <mergeCell ref="F108:F109"/>
    <mergeCell ref="G108:G109"/>
    <mergeCell ref="E108:E109"/>
    <mergeCell ref="B110:C110"/>
    <mergeCell ref="B111:C111"/>
    <mergeCell ref="B139:C139"/>
    <mergeCell ref="B140:C140"/>
    <mergeCell ref="B134:C134"/>
    <mergeCell ref="D108:D109"/>
    <mergeCell ref="B108:C109"/>
    <mergeCell ref="B132:C132"/>
    <mergeCell ref="B135:C135"/>
    <mergeCell ref="B136:C136"/>
    <mergeCell ref="B137:C137"/>
    <mergeCell ref="B138:C138"/>
    <mergeCell ref="B127:C127"/>
    <mergeCell ref="B128:C128"/>
    <mergeCell ref="B129:C129"/>
    <mergeCell ref="B130:C130"/>
    <mergeCell ref="B131:C131"/>
    <mergeCell ref="B120:C120"/>
    <mergeCell ref="B121:C121"/>
    <mergeCell ref="B125:C125"/>
    <mergeCell ref="B126:C126"/>
    <mergeCell ref="B124:F124"/>
    <mergeCell ref="B115:C115"/>
    <mergeCell ref="B116:C116"/>
    <mergeCell ref="B118:E118"/>
    <mergeCell ref="B117:G117"/>
    <mergeCell ref="B106:G106"/>
    <mergeCell ref="B105:C105"/>
    <mergeCell ref="B107:G107"/>
    <mergeCell ref="B100:C100"/>
    <mergeCell ref="B101:C101"/>
    <mergeCell ref="B102:C102"/>
    <mergeCell ref="B103:C103"/>
    <mergeCell ref="B104:C104"/>
    <mergeCell ref="D100:G100"/>
    <mergeCell ref="D101:G101"/>
    <mergeCell ref="D102:G102"/>
    <mergeCell ref="D103:G103"/>
    <mergeCell ref="D104:G104"/>
    <mergeCell ref="D105:G105"/>
    <mergeCell ref="A7:O7"/>
    <mergeCell ref="P7:AA7"/>
    <mergeCell ref="B97:G97"/>
    <mergeCell ref="B98:C98"/>
    <mergeCell ref="B99:C99"/>
    <mergeCell ref="D98:G98"/>
    <mergeCell ref="D99:G99"/>
  </mergeCells>
  <dataValidations count="4">
    <dataValidation type="list" allowBlank="1" sqref="R85 R81 J62 R35 R14 R53 R26 R94">
      <formula1>"Pipeline,Vehicle Fuel,Both,Unknown,Other"</formula1>
    </dataValidation>
    <dataValidation type="list" allowBlank="1" sqref="R57 R21 R23 AA95 Q69 R76:R77 R81 R32:R33 R86:R87 R40 R79 R84 R16 R50:R51 R66 R68:R69">
      <formula1>"Vehicle fuel,Pipeline,Both,Other,Unknown"</formula1>
    </dataValidation>
    <dataValidation allowBlank="1" sqref="R37"/>
    <dataValidation type="list" allowBlank="1" showInputMessage="1" showErrorMessage="1" sqref="A69 C27 C51:C54">
      <formula1>#REF!</formula1>
    </dataValidation>
  </dataValidations>
  <hyperlinks>
    <hyperlink ref="Y81" r:id="rId1"/>
    <hyperlink ref="Y23" r:id="rId2"/>
    <hyperlink ref="Y25" r:id="rId3" display="http://www.dleg.state.mi.us/mpsc/orders/gas/2016/u-18107_8-23-16.pdf"/>
    <hyperlink ref="Y30" r:id="rId4" display="http://journalstar.com/news/state-and-regional/nebraska/butler-county-board-hears-support-opposition-to-landfill-expansion/article_aadc543f-34de-57e4-a675-bfce43cb16e0.html"/>
    <hyperlink ref="Y38" r:id="rId5" display="https://dtepowerandindustrial.com/project/pinnacle-gas-producers/"/>
    <hyperlink ref="Y53" r:id="rId6"/>
    <hyperlink ref="Y61" r:id="rId7" display="https://www.longviewtexas.gov/2704/Pine-Hill-Landfill"/>
    <hyperlink ref="Y58" r:id="rId8"/>
    <hyperlink ref="Y60" r:id="rId9" display="http://www.amtrib.com/news/20170131/company-plans-to-capture-methane-gas-at-melissa-landfill"/>
    <hyperlink ref="Y55" r:id="rId10"/>
    <hyperlink ref="Y31" r:id="rId11"/>
    <hyperlink ref="Y82" r:id="rId12"/>
    <hyperlink ref="Y83" r:id="rId13"/>
    <hyperlink ref="Y47" r:id="rId14"/>
    <hyperlink ref="Y39" r:id="rId15" display="https://www.rumpke.com/docs/default-document-library/rslfactsheet.pdf     "/>
    <hyperlink ref="Y45" r:id="rId16" display="http://www.edf-re.com/project/imperial-landfill-biogas/"/>
    <hyperlink ref="H32" r:id="rId17" display="Q@ 2017"/>
    <hyperlink ref="Y42" r:id="rId18" display="https://applications.deq.ok.gov/permitspublic/storedpermits/4199.pdf"/>
    <hyperlink ref="Y43" r:id="rId19" display="https://www.lynxresourcepartners.com/"/>
  </hyperlinks>
  <pageMargins left="0.7" right="0.7" top="0.75" bottom="0.75" header="0.3" footer="0.3"/>
  <pageSetup orientation="portrait" r:id="rId20"/>
  <drawing r:id="rId21"/>
  <extLst>
    <ext xmlns:x14="http://schemas.microsoft.com/office/spreadsheetml/2009/9/main" uri="{CCE6A557-97BC-4b89-ADB6-D9C93CAAB3DF}">
      <x14:dataValidations xmlns:xm="http://schemas.microsoft.com/office/excel/2006/main" count="4">
        <x14:dataValidation type="list" allowBlank="1" showInputMessage="1" showErrorMessage="1">
          <x14:formula1>
            <xm:f>'List Values'!$A$9:$A$17</xm:f>
          </x14:formula1>
          <xm:sqref>A94 A79:A87 A70:A77 A10:A68</xm:sqref>
        </x14:dataValidation>
        <x14:dataValidation type="list" allowBlank="1" showInputMessage="1" showErrorMessage="1">
          <x14:formula1>
            <xm:f>'C:\Users\vos\Desktop\Energy Vision\ANL database project\2017 update\[RNG_Database_11.17.17.xlsx]List Values'!#REF!</xm:f>
          </x14:formula1>
          <xm:sqref>H95:I95</xm:sqref>
        </x14:dataValidation>
        <x14:dataValidation type="list" allowBlank="1" showInputMessage="1" showErrorMessage="1">
          <x14:formula1>
            <xm:f>'List Values'!$A$2:$A$6</xm:f>
          </x14:formula1>
          <xm:sqref>Q79:Q87 Q70:Q77 Q10:Q68</xm:sqref>
        </x14:dataValidation>
        <x14:dataValidation type="list" allowBlank="1">
          <x14:formula1>
            <xm:f>'List Values'!$A$2:$A$6</xm:f>
          </x14:formula1>
          <xm:sqref>Q94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83"/>
  <sheetViews>
    <sheetView zoomScale="90" zoomScaleNormal="90" workbookViewId="0">
      <pane ySplit="8" topLeftCell="A50" activePane="bottomLeft" state="frozen"/>
      <selection activeCell="E1" sqref="E1"/>
      <selection pane="bottomLeft" activeCell="V34" sqref="V34"/>
    </sheetView>
  </sheetViews>
  <sheetFormatPr defaultColWidth="20.7109375" defaultRowHeight="15"/>
  <cols>
    <col min="1" max="1" width="13.5703125" customWidth="1"/>
    <col min="2" max="2" width="21.28515625" customWidth="1"/>
    <col min="3" max="3" width="25.5703125" customWidth="1"/>
    <col min="4" max="4" width="9.7109375" customWidth="1"/>
    <col min="5" max="5" width="19.140625" customWidth="1"/>
    <col min="6" max="6" width="10.85546875" customWidth="1"/>
    <col min="7" max="7" width="31.28515625" customWidth="1"/>
    <col min="8" max="8" width="39.140625" customWidth="1"/>
    <col min="9" max="9" width="6.7109375" customWidth="1"/>
    <col min="10" max="10" width="7.7109375" customWidth="1"/>
    <col min="11" max="11" width="9.140625" customWidth="1"/>
    <col min="12" max="12" width="8.140625" customWidth="1"/>
    <col min="13" max="13" width="7.7109375" customWidth="1"/>
    <col min="14" max="14" width="8.5703125" customWidth="1"/>
    <col min="15" max="15" width="7.85546875" customWidth="1"/>
    <col min="16" max="16" width="8" customWidth="1"/>
    <col min="17" max="17" width="10" customWidth="1"/>
    <col min="18" max="18" width="7.85546875" customWidth="1"/>
    <col min="19" max="20" width="8" customWidth="1"/>
    <col min="21" max="21" width="6" customWidth="1"/>
    <col min="24" max="24" width="62.7109375" customWidth="1"/>
    <col min="25" max="25" width="45.85546875" customWidth="1"/>
    <col min="26" max="26" width="34" customWidth="1"/>
  </cols>
  <sheetData>
    <row r="1" spans="1:25" ht="15.75">
      <c r="A1" s="2" t="s">
        <v>871</v>
      </c>
      <c r="B1" s="3" t="s">
        <v>1</v>
      </c>
      <c r="C1" s="1502"/>
      <c r="D1" s="1503"/>
      <c r="E1" s="4" t="s">
        <v>2</v>
      </c>
      <c r="F1" s="1"/>
      <c r="G1" s="1"/>
      <c r="H1" s="1"/>
      <c r="I1" s="1"/>
      <c r="J1" s="1"/>
      <c r="K1" s="1"/>
      <c r="L1" s="1"/>
      <c r="M1" s="1"/>
      <c r="N1" s="1"/>
      <c r="O1" s="1"/>
      <c r="P1" s="1"/>
      <c r="Q1" s="1"/>
      <c r="R1" s="1"/>
      <c r="S1" s="1"/>
      <c r="T1" s="1"/>
      <c r="U1" s="1"/>
      <c r="V1" s="1"/>
      <c r="W1" s="1"/>
      <c r="X1" s="1"/>
      <c r="Y1" s="1"/>
    </row>
    <row r="2" spans="1:25">
      <c r="A2" s="1"/>
      <c r="B2" s="6" t="s">
        <v>1521</v>
      </c>
      <c r="C2" s="1504"/>
      <c r="D2" s="1505"/>
      <c r="E2" s="4" t="s">
        <v>3</v>
      </c>
      <c r="F2" s="1"/>
      <c r="G2" s="1"/>
      <c r="H2" s="1"/>
      <c r="I2" s="1"/>
      <c r="J2" s="1"/>
      <c r="K2" s="1"/>
      <c r="L2" s="1"/>
      <c r="M2" s="1"/>
      <c r="N2" s="1"/>
      <c r="O2" s="1"/>
      <c r="P2" s="1"/>
      <c r="Q2" s="1"/>
      <c r="R2" s="1"/>
      <c r="S2" s="1"/>
      <c r="T2" s="1"/>
      <c r="U2" s="1"/>
      <c r="V2" s="1"/>
      <c r="W2" s="1"/>
      <c r="X2" s="1"/>
      <c r="Y2" s="1"/>
    </row>
    <row r="3" spans="1:25">
      <c r="A3" s="1"/>
      <c r="B3" s="7" t="s">
        <v>1537</v>
      </c>
      <c r="C3" s="1506"/>
      <c r="D3" s="1507"/>
      <c r="E3" s="833"/>
      <c r="F3" s="1"/>
      <c r="G3" s="1"/>
      <c r="H3" s="1"/>
      <c r="I3" s="1"/>
      <c r="J3" s="1"/>
      <c r="K3" s="1"/>
      <c r="L3" s="1"/>
      <c r="M3" s="1"/>
      <c r="N3" s="1"/>
      <c r="O3" s="1"/>
      <c r="P3" s="1"/>
      <c r="Q3" s="1"/>
      <c r="R3" s="1"/>
      <c r="S3" s="1"/>
      <c r="T3" s="1"/>
      <c r="U3" s="1"/>
      <c r="V3" s="1"/>
      <c r="W3" s="1"/>
      <c r="X3" s="1"/>
      <c r="Y3" s="1"/>
    </row>
    <row r="4" spans="1:25">
      <c r="A4" s="1"/>
      <c r="B4" s="1407" t="s">
        <v>1522</v>
      </c>
      <c r="C4" s="1510"/>
      <c r="D4" s="1511"/>
      <c r="E4" s="833"/>
      <c r="F4" s="1"/>
      <c r="G4" s="1"/>
      <c r="H4" s="1"/>
      <c r="I4" s="1"/>
      <c r="J4" s="1"/>
      <c r="K4" s="1"/>
      <c r="L4" s="1"/>
      <c r="M4" s="1"/>
      <c r="N4" s="1"/>
      <c r="O4" s="1"/>
      <c r="P4" s="1"/>
      <c r="Q4" s="1"/>
      <c r="R4" s="1"/>
      <c r="S4" s="1"/>
      <c r="T4" s="1"/>
      <c r="U4" s="1"/>
      <c r="V4" s="1"/>
      <c r="W4" s="1"/>
      <c r="X4" s="1"/>
      <c r="Y4" s="1"/>
    </row>
    <row r="5" spans="1:25">
      <c r="A5" s="1"/>
      <c r="B5" s="1416" t="s">
        <v>1523</v>
      </c>
      <c r="C5" s="1512"/>
      <c r="D5" s="1513"/>
      <c r="E5" s="833"/>
      <c r="F5" s="1"/>
      <c r="G5" s="1"/>
      <c r="H5" s="1"/>
      <c r="I5" s="1"/>
      <c r="J5" s="1"/>
      <c r="K5" s="1"/>
      <c r="L5" s="1"/>
      <c r="M5" s="1"/>
      <c r="N5" s="1"/>
      <c r="O5" s="1"/>
      <c r="P5" s="1"/>
      <c r="Q5" s="1"/>
      <c r="R5" s="1"/>
      <c r="S5" s="1"/>
      <c r="T5" s="1"/>
      <c r="U5" s="1"/>
      <c r="V5" s="1"/>
      <c r="W5" s="1"/>
      <c r="X5" s="1"/>
      <c r="Y5" s="1"/>
    </row>
    <row r="6" spans="1:25">
      <c r="A6" s="1"/>
      <c r="B6" s="1"/>
      <c r="C6" s="1"/>
      <c r="D6" s="1"/>
      <c r="E6" s="1"/>
      <c r="F6" s="1"/>
      <c r="G6" s="1"/>
      <c r="H6" s="1"/>
      <c r="I6" s="1"/>
      <c r="J6" s="1"/>
      <c r="K6" s="1"/>
      <c r="L6" s="1"/>
      <c r="M6" s="1"/>
      <c r="N6" s="1"/>
      <c r="O6" s="1"/>
      <c r="P6" s="1"/>
      <c r="Q6" s="1"/>
      <c r="R6" s="1"/>
      <c r="S6" s="1"/>
      <c r="T6" s="1"/>
      <c r="U6" s="1"/>
      <c r="V6" s="1"/>
      <c r="W6" s="1"/>
      <c r="X6" s="1"/>
      <c r="Y6" s="1"/>
    </row>
    <row r="7" spans="1:25" ht="15.75">
      <c r="A7" s="1690" t="s">
        <v>1464</v>
      </c>
      <c r="B7" s="1690"/>
      <c r="C7" s="1690"/>
      <c r="D7" s="1690"/>
      <c r="E7" s="1690"/>
      <c r="F7" s="1690"/>
      <c r="G7" s="1690"/>
      <c r="H7" s="1690"/>
      <c r="I7" s="1690"/>
      <c r="J7" s="1690"/>
      <c r="K7" s="1690"/>
      <c r="L7" s="1691" t="s">
        <v>1462</v>
      </c>
      <c r="M7" s="1692"/>
      <c r="N7" s="1692"/>
      <c r="O7" s="1692"/>
      <c r="P7" s="1692"/>
      <c r="Q7" s="1692"/>
      <c r="R7" s="1692"/>
      <c r="S7" s="1692"/>
      <c r="T7" s="1692"/>
      <c r="U7" s="1692"/>
      <c r="V7" s="1692"/>
      <c r="W7" s="1692"/>
      <c r="X7" s="1693"/>
      <c r="Y7" s="832"/>
    </row>
    <row r="8" spans="1:25" ht="74.25">
      <c r="A8" s="757" t="s">
        <v>6</v>
      </c>
      <c r="B8" s="756" t="s">
        <v>872</v>
      </c>
      <c r="C8" s="768" t="s">
        <v>288</v>
      </c>
      <c r="D8" s="769" t="s">
        <v>8</v>
      </c>
      <c r="E8" s="758" t="s">
        <v>9</v>
      </c>
      <c r="F8" s="758" t="s">
        <v>10</v>
      </c>
      <c r="G8" s="758" t="s">
        <v>11</v>
      </c>
      <c r="H8" s="758" t="s">
        <v>14</v>
      </c>
      <c r="I8" s="1318" t="s">
        <v>873</v>
      </c>
      <c r="J8" s="1318" t="s">
        <v>874</v>
      </c>
      <c r="K8" s="1318" t="s">
        <v>875</v>
      </c>
      <c r="L8" s="1319" t="s">
        <v>876</v>
      </c>
      <c r="M8" s="1319" t="s">
        <v>295</v>
      </c>
      <c r="N8" s="1320" t="s">
        <v>1456</v>
      </c>
      <c r="O8" s="1320" t="s">
        <v>1467</v>
      </c>
      <c r="P8" s="1319" t="s">
        <v>877</v>
      </c>
      <c r="Q8" s="1321" t="s">
        <v>21</v>
      </c>
      <c r="R8" s="1322" t="s">
        <v>878</v>
      </c>
      <c r="S8" s="1322" t="s">
        <v>296</v>
      </c>
      <c r="T8" s="1299" t="s">
        <v>1495</v>
      </c>
      <c r="U8" s="1323" t="s">
        <v>1487</v>
      </c>
      <c r="V8" s="449" t="s">
        <v>1459</v>
      </c>
      <c r="W8" s="832"/>
    </row>
    <row r="9" spans="1:25" ht="19.5" customHeight="1">
      <c r="A9" s="762"/>
      <c r="B9" s="1695" t="s">
        <v>1539</v>
      </c>
      <c r="C9" s="1695"/>
      <c r="D9" s="763"/>
      <c r="E9" s="664"/>
      <c r="F9" s="664"/>
      <c r="G9" s="664"/>
      <c r="H9" s="664"/>
      <c r="I9" s="764"/>
      <c r="J9" s="764"/>
      <c r="K9" s="764"/>
      <c r="L9" s="665"/>
      <c r="M9" s="665"/>
      <c r="N9" s="666"/>
      <c r="O9" s="666"/>
      <c r="P9" s="665"/>
      <c r="Q9" s="667"/>
      <c r="R9" s="765"/>
      <c r="S9" s="765"/>
      <c r="T9" s="668"/>
      <c r="U9" s="766"/>
      <c r="V9" s="1324"/>
    </row>
    <row r="10" spans="1:25" ht="88.5" customHeight="1">
      <c r="A10" s="605" t="s">
        <v>31</v>
      </c>
      <c r="B10" s="375" t="s">
        <v>940</v>
      </c>
      <c r="C10" s="820" t="s">
        <v>1470</v>
      </c>
      <c r="D10" s="1340" t="s">
        <v>130</v>
      </c>
      <c r="E10" s="759" t="s">
        <v>1669</v>
      </c>
      <c r="F10" s="760" t="s">
        <v>135</v>
      </c>
      <c r="G10" s="759" t="s">
        <v>760</v>
      </c>
      <c r="H10" s="564" t="s">
        <v>941</v>
      </c>
      <c r="I10" s="704" t="s">
        <v>942</v>
      </c>
      <c r="J10" s="606"/>
      <c r="K10" s="1611">
        <v>4680000</v>
      </c>
      <c r="L10" s="1611">
        <v>2350300</v>
      </c>
      <c r="M10" s="1611">
        <v>600000</v>
      </c>
      <c r="N10" s="1612" t="s">
        <v>1444</v>
      </c>
      <c r="O10" s="606"/>
      <c r="P10" s="1613">
        <f>M10/0.112194</f>
        <v>5347879.5657521794</v>
      </c>
      <c r="Q10" s="606"/>
      <c r="R10" s="606"/>
      <c r="S10" s="606"/>
      <c r="T10" s="391" t="s">
        <v>1488</v>
      </c>
      <c r="U10" s="761" t="s">
        <v>27</v>
      </c>
      <c r="V10" s="376" t="s">
        <v>939</v>
      </c>
    </row>
    <row r="11" spans="1:25" ht="84.75" customHeight="1">
      <c r="A11" s="410" t="s">
        <v>31</v>
      </c>
      <c r="B11" s="303" t="s">
        <v>880</v>
      </c>
      <c r="C11" s="278" t="s">
        <v>881</v>
      </c>
      <c r="D11" s="282" t="s">
        <v>50</v>
      </c>
      <c r="E11" s="284">
        <v>2016</v>
      </c>
      <c r="F11" s="825" t="s">
        <v>117</v>
      </c>
      <c r="G11" s="278" t="s">
        <v>882</v>
      </c>
      <c r="H11" s="278" t="s">
        <v>883</v>
      </c>
      <c r="I11" s="421" t="s">
        <v>1216</v>
      </c>
      <c r="J11" s="411" t="s">
        <v>884</v>
      </c>
      <c r="K11" s="412"/>
      <c r="L11" s="413">
        <f>M11/( 0.001 * 365*0.9)</f>
        <v>5806.0821917808216</v>
      </c>
      <c r="M11" s="208">
        <f>P11*0.112194</f>
        <v>1907.298</v>
      </c>
      <c r="N11" s="280" t="s">
        <v>1444</v>
      </c>
      <c r="O11" s="414"/>
      <c r="P11" s="300">
        <v>17000</v>
      </c>
      <c r="Q11" s="286">
        <v>200750</v>
      </c>
      <c r="R11" s="284" t="s">
        <v>885</v>
      </c>
      <c r="S11" s="284" t="s">
        <v>66</v>
      </c>
      <c r="T11" s="284"/>
      <c r="U11" s="209" t="s">
        <v>27</v>
      </c>
      <c r="V11" s="278" t="s">
        <v>879</v>
      </c>
    </row>
    <row r="12" spans="1:25" ht="118.5">
      <c r="A12" s="280" t="s">
        <v>31</v>
      </c>
      <c r="B12" s="280" t="s">
        <v>887</v>
      </c>
      <c r="C12" s="278" t="s">
        <v>888</v>
      </c>
      <c r="D12" s="282" t="s">
        <v>50</v>
      </c>
      <c r="E12" s="204">
        <v>43070</v>
      </c>
      <c r="F12" s="825" t="s">
        <v>117</v>
      </c>
      <c r="G12" s="287" t="s">
        <v>100</v>
      </c>
      <c r="H12" s="278" t="s">
        <v>889</v>
      </c>
      <c r="I12" s="411" t="s">
        <v>890</v>
      </c>
      <c r="J12" s="411" t="s">
        <v>891</v>
      </c>
      <c r="K12" s="412"/>
      <c r="L12" s="300">
        <v>36000</v>
      </c>
      <c r="M12" s="413">
        <f>L12*0.001*0.9*365</f>
        <v>11826</v>
      </c>
      <c r="N12" s="933" t="s">
        <v>1444</v>
      </c>
      <c r="O12" s="582">
        <f>M12/0.112194</f>
        <v>105406.70624097546</v>
      </c>
      <c r="P12" s="284"/>
      <c r="Q12" s="587" t="s">
        <v>892</v>
      </c>
      <c r="R12" s="600" t="s">
        <v>66</v>
      </c>
      <c r="S12" s="569" t="s">
        <v>66</v>
      </c>
      <c r="T12" s="318"/>
      <c r="U12" s="569" t="s">
        <v>893</v>
      </c>
      <c r="V12" s="278" t="s">
        <v>886</v>
      </c>
    </row>
    <row r="13" spans="1:25" ht="60" customHeight="1">
      <c r="A13" s="277" t="s">
        <v>31</v>
      </c>
      <c r="B13" s="277" t="s">
        <v>895</v>
      </c>
      <c r="C13" s="825" t="s">
        <v>830</v>
      </c>
      <c r="D13" s="282" t="s">
        <v>50</v>
      </c>
      <c r="E13" s="823">
        <v>2012</v>
      </c>
      <c r="F13" s="825" t="s">
        <v>117</v>
      </c>
      <c r="G13" s="825" t="s">
        <v>896</v>
      </c>
      <c r="H13" s="825" t="s">
        <v>897</v>
      </c>
      <c r="I13" s="416" t="s">
        <v>898</v>
      </c>
      <c r="J13" s="417" t="s">
        <v>899</v>
      </c>
      <c r="K13" s="418">
        <v>1205000</v>
      </c>
      <c r="L13" s="300">
        <v>602000</v>
      </c>
      <c r="M13" s="419">
        <v>219584</v>
      </c>
      <c r="N13" s="280" t="s">
        <v>1443</v>
      </c>
      <c r="O13" s="899"/>
      <c r="P13" s="584">
        <f>M13/0.112194</f>
        <v>1957181.3109435441</v>
      </c>
      <c r="Q13" s="843"/>
      <c r="R13" s="548" t="s">
        <v>900</v>
      </c>
      <c r="S13" s="548" t="s">
        <v>901</v>
      </c>
      <c r="T13" s="1269"/>
      <c r="U13" s="827"/>
      <c r="V13" s="825" t="s">
        <v>894</v>
      </c>
    </row>
    <row r="14" spans="1:25" ht="106.5" customHeight="1">
      <c r="A14" s="312" t="s">
        <v>31</v>
      </c>
      <c r="B14" s="942" t="s">
        <v>903</v>
      </c>
      <c r="C14" s="289" t="s">
        <v>904</v>
      </c>
      <c r="D14" s="291" t="s">
        <v>170</v>
      </c>
      <c r="E14" s="1260">
        <v>42095</v>
      </c>
      <c r="F14" s="825" t="s">
        <v>117</v>
      </c>
      <c r="G14" s="294" t="s">
        <v>552</v>
      </c>
      <c r="H14" s="289" t="s">
        <v>905</v>
      </c>
      <c r="I14" s="580" t="s">
        <v>906</v>
      </c>
      <c r="J14" s="421" t="s">
        <v>907</v>
      </c>
      <c r="K14" s="422"/>
      <c r="L14" s="306">
        <v>34843</v>
      </c>
      <c r="M14" s="208">
        <f>P14*0.112194</f>
        <v>11443.788</v>
      </c>
      <c r="N14" s="942" t="s">
        <v>1444</v>
      </c>
      <c r="O14" s="414"/>
      <c r="P14" s="1265">
        <v>102000</v>
      </c>
      <c r="Q14" s="1267">
        <v>182500</v>
      </c>
      <c r="R14" s="1288" t="s">
        <v>908</v>
      </c>
      <c r="S14" s="1287" t="s">
        <v>66</v>
      </c>
      <c r="T14" s="1270" t="s">
        <v>1489</v>
      </c>
      <c r="U14" s="590" t="s">
        <v>27</v>
      </c>
      <c r="V14" s="313" t="s">
        <v>902</v>
      </c>
    </row>
    <row r="15" spans="1:25" ht="145.5">
      <c r="A15" s="375" t="s">
        <v>31</v>
      </c>
      <c r="B15" s="389" t="s">
        <v>1499</v>
      </c>
      <c r="C15" s="400" t="s">
        <v>965</v>
      </c>
      <c r="D15" s="390" t="s">
        <v>966</v>
      </c>
      <c r="E15" s="346" t="s">
        <v>1193</v>
      </c>
      <c r="F15" s="825" t="s">
        <v>117</v>
      </c>
      <c r="G15" s="400" t="s">
        <v>967</v>
      </c>
      <c r="H15" s="564" t="s">
        <v>1188</v>
      </c>
      <c r="I15" s="1261"/>
      <c r="J15" s="1606" t="s">
        <v>1187</v>
      </c>
      <c r="K15" s="1262">
        <f>80000/(0.001*365*0.9)</f>
        <v>243531.20243531201</v>
      </c>
      <c r="L15" s="1263">
        <f>K15*0.6</f>
        <v>146118.7214611872</v>
      </c>
      <c r="M15" s="378">
        <v>80000</v>
      </c>
      <c r="N15" s="1614" t="s">
        <v>1443</v>
      </c>
      <c r="O15" s="1264"/>
      <c r="P15" s="1263">
        <f>M15/0.112194</f>
        <v>713050.60876695719</v>
      </c>
      <c r="Q15" s="1196"/>
      <c r="R15" s="1605" t="s">
        <v>1194</v>
      </c>
      <c r="S15" s="346"/>
      <c r="T15" s="376"/>
      <c r="U15" s="353"/>
      <c r="V15" s="400" t="s">
        <v>1186</v>
      </c>
    </row>
    <row r="16" spans="1:25" ht="127.5">
      <c r="A16" s="347" t="s">
        <v>31</v>
      </c>
      <c r="B16" s="277" t="s">
        <v>948</v>
      </c>
      <c r="C16" s="430" t="s">
        <v>949</v>
      </c>
      <c r="D16" s="968" t="s">
        <v>175</v>
      </c>
      <c r="E16" s="541">
        <v>43040</v>
      </c>
      <c r="F16" s="825" t="s">
        <v>117</v>
      </c>
      <c r="G16" s="429" t="s">
        <v>950</v>
      </c>
      <c r="H16" s="429" t="s">
        <v>951</v>
      </c>
      <c r="I16" s="432" t="s">
        <v>952</v>
      </c>
      <c r="J16" s="431" t="s">
        <v>953</v>
      </c>
      <c r="K16" s="434">
        <v>300000</v>
      </c>
      <c r="L16" s="434">
        <v>215000</v>
      </c>
      <c r="M16" s="434">
        <v>80000</v>
      </c>
      <c r="N16" s="280" t="s">
        <v>1443</v>
      </c>
      <c r="O16" s="414"/>
      <c r="P16" s="435">
        <f>M16/0.112194</f>
        <v>713050.60876695719</v>
      </c>
      <c r="Q16" s="1268"/>
      <c r="R16" s="827" t="s">
        <v>954</v>
      </c>
      <c r="S16" s="1604" t="s">
        <v>955</v>
      </c>
      <c r="T16" s="414"/>
      <c r="U16" s="433"/>
      <c r="V16" s="820" t="s">
        <v>947</v>
      </c>
    </row>
    <row r="17" spans="1:22" ht="150.75" customHeight="1">
      <c r="A17" s="202" t="s">
        <v>31</v>
      </c>
      <c r="B17" s="202" t="s">
        <v>1270</v>
      </c>
      <c r="C17" s="200" t="s">
        <v>1269</v>
      </c>
      <c r="D17" s="203" t="s">
        <v>1267</v>
      </c>
      <c r="E17" s="599" t="s">
        <v>775</v>
      </c>
      <c r="F17" s="201" t="s">
        <v>117</v>
      </c>
      <c r="G17" s="1607" t="s">
        <v>1271</v>
      </c>
      <c r="H17" s="822" t="s">
        <v>1718</v>
      </c>
      <c r="I17" s="421" t="s">
        <v>1268</v>
      </c>
      <c r="J17" s="421" t="s">
        <v>1293</v>
      </c>
      <c r="K17" s="418" t="s">
        <v>1294</v>
      </c>
      <c r="L17" s="821" t="s">
        <v>1295</v>
      </c>
      <c r="M17" s="419">
        <v>420000</v>
      </c>
      <c r="N17" s="933" t="s">
        <v>1444</v>
      </c>
      <c r="O17" s="206" t="s">
        <v>38</v>
      </c>
      <c r="P17" s="1266">
        <f>M17/0.112194</f>
        <v>3743515.6960265255</v>
      </c>
      <c r="Q17" s="200"/>
      <c r="R17" s="564" t="s">
        <v>1266</v>
      </c>
      <c r="S17" s="200"/>
      <c r="T17" s="200"/>
      <c r="U17" s="209" t="s">
        <v>27</v>
      </c>
      <c r="V17" s="200" t="s">
        <v>1272</v>
      </c>
    </row>
    <row r="18" spans="1:22" ht="152.25" customHeight="1">
      <c r="A18" s="347" t="s">
        <v>31</v>
      </c>
      <c r="B18" s="347" t="s">
        <v>923</v>
      </c>
      <c r="C18" s="426" t="s">
        <v>1471</v>
      </c>
      <c r="D18" s="1341" t="s">
        <v>225</v>
      </c>
      <c r="E18" s="426"/>
      <c r="F18" s="767" t="s">
        <v>117</v>
      </c>
      <c r="G18" s="430" t="s">
        <v>315</v>
      </c>
      <c r="H18" s="429" t="s">
        <v>1218</v>
      </c>
      <c r="I18" s="426"/>
      <c r="J18" s="426"/>
      <c r="K18" s="426"/>
      <c r="L18" s="426"/>
      <c r="M18" s="432" t="s">
        <v>924</v>
      </c>
      <c r="N18" s="947" t="s">
        <v>1443</v>
      </c>
      <c r="O18" s="414"/>
      <c r="P18" s="585"/>
      <c r="Q18" s="1520">
        <v>5416341</v>
      </c>
      <c r="R18" s="579"/>
      <c r="S18" s="588"/>
      <c r="T18" s="588"/>
      <c r="U18" s="592" t="s">
        <v>27</v>
      </c>
      <c r="V18" s="294" t="s">
        <v>922</v>
      </c>
    </row>
    <row r="19" spans="1:22" ht="118.5">
      <c r="A19" s="277" t="s">
        <v>31</v>
      </c>
      <c r="B19" s="277" t="s">
        <v>910</v>
      </c>
      <c r="C19" s="287" t="s">
        <v>911</v>
      </c>
      <c r="D19" s="282" t="s">
        <v>43</v>
      </c>
      <c r="E19" s="284">
        <v>2011</v>
      </c>
      <c r="F19" s="825" t="s">
        <v>117</v>
      </c>
      <c r="G19" s="287" t="s">
        <v>912</v>
      </c>
      <c r="H19" s="412" t="s">
        <v>1219</v>
      </c>
      <c r="I19" s="421" t="s">
        <v>913</v>
      </c>
      <c r="J19" s="411" t="s">
        <v>890</v>
      </c>
      <c r="K19" s="412"/>
      <c r="L19" s="306">
        <v>20000</v>
      </c>
      <c r="M19" s="208">
        <f>L19*0.001*365*0.9</f>
        <v>6570</v>
      </c>
      <c r="N19" s="280" t="s">
        <v>1443</v>
      </c>
      <c r="O19" s="414"/>
      <c r="P19" s="424">
        <f>M19/0.112194</f>
        <v>58559.281244986363</v>
      </c>
      <c r="Q19" s="284"/>
      <c r="R19" s="287" t="s">
        <v>914</v>
      </c>
      <c r="S19" s="284" t="s">
        <v>915</v>
      </c>
      <c r="T19" s="284"/>
      <c r="U19" s="308"/>
      <c r="V19" s="287" t="s">
        <v>909</v>
      </c>
    </row>
    <row r="20" spans="1:22" ht="51" customHeight="1">
      <c r="A20" s="277" t="s">
        <v>31</v>
      </c>
      <c r="B20" s="277" t="s">
        <v>917</v>
      </c>
      <c r="C20" s="287" t="s">
        <v>918</v>
      </c>
      <c r="D20" s="282" t="s">
        <v>251</v>
      </c>
      <c r="E20" s="284">
        <v>2010</v>
      </c>
      <c r="F20" s="787" t="s">
        <v>117</v>
      </c>
      <c r="G20" s="287" t="s">
        <v>919</v>
      </c>
      <c r="H20" s="412" t="s">
        <v>920</v>
      </c>
      <c r="I20" s="421" t="s">
        <v>921</v>
      </c>
      <c r="J20" s="209" t="s">
        <v>1248</v>
      </c>
      <c r="K20" s="345"/>
      <c r="L20" s="288">
        <v>794000</v>
      </c>
      <c r="M20" s="388">
        <f>L20*0.001*365*0.9</f>
        <v>260829</v>
      </c>
      <c r="N20" s="785" t="s">
        <v>1444</v>
      </c>
      <c r="O20" s="414"/>
      <c r="P20" s="586">
        <f>M20/0.112194</f>
        <v>2324803.4654259584</v>
      </c>
      <c r="Q20" s="288">
        <v>3101699</v>
      </c>
      <c r="R20" s="589" t="s">
        <v>1719</v>
      </c>
      <c r="S20" s="309" t="s">
        <v>66</v>
      </c>
      <c r="T20" s="309" t="s">
        <v>1490</v>
      </c>
      <c r="U20" s="345" t="s">
        <v>27</v>
      </c>
      <c r="V20" s="287" t="s">
        <v>916</v>
      </c>
    </row>
    <row r="21" spans="1:22" ht="55.5">
      <c r="A21" s="277" t="s">
        <v>31</v>
      </c>
      <c r="B21" s="280" t="s">
        <v>1265</v>
      </c>
      <c r="C21" s="278" t="s">
        <v>735</v>
      </c>
      <c r="D21" s="282" t="s">
        <v>121</v>
      </c>
      <c r="E21" s="284" t="s">
        <v>926</v>
      </c>
      <c r="F21" s="825" t="s">
        <v>117</v>
      </c>
      <c r="G21" s="278" t="s">
        <v>927</v>
      </c>
      <c r="H21" s="278" t="s">
        <v>928</v>
      </c>
      <c r="I21" s="205" t="s">
        <v>929</v>
      </c>
      <c r="J21" s="205" t="s">
        <v>930</v>
      </c>
      <c r="K21" s="278"/>
      <c r="L21" s="413">
        <f>M21/( 0.001 * 365*0.9)</f>
        <v>777777.77777777775</v>
      </c>
      <c r="M21" s="300">
        <f>700*365</f>
        <v>255500</v>
      </c>
      <c r="N21" s="280" t="s">
        <v>1443</v>
      </c>
      <c r="O21" s="414"/>
      <c r="P21" s="208">
        <f>M21/0.112194</f>
        <v>2277305.3817494698</v>
      </c>
      <c r="Q21" s="300">
        <v>3250000</v>
      </c>
      <c r="R21" s="284"/>
      <c r="S21" s="284" t="s">
        <v>931</v>
      </c>
      <c r="T21" s="307">
        <v>13556</v>
      </c>
      <c r="U21" s="209" t="s">
        <v>27</v>
      </c>
      <c r="V21" s="427" t="s">
        <v>925</v>
      </c>
    </row>
    <row r="22" spans="1:22" ht="100.5">
      <c r="A22" s="317" t="s">
        <v>31</v>
      </c>
      <c r="B22" s="317" t="s">
        <v>933</v>
      </c>
      <c r="C22" s="321" t="s">
        <v>934</v>
      </c>
      <c r="D22" s="777" t="s">
        <v>148</v>
      </c>
      <c r="E22" s="542" t="s">
        <v>1210</v>
      </c>
      <c r="F22" s="964" t="s">
        <v>117</v>
      </c>
      <c r="G22" s="321" t="s">
        <v>552</v>
      </c>
      <c r="H22" s="321" t="s">
        <v>1220</v>
      </c>
      <c r="I22" s="428" t="s">
        <v>935</v>
      </c>
      <c r="J22" s="896" t="s">
        <v>936</v>
      </c>
      <c r="K22" s="897"/>
      <c r="L22" s="582">
        <f>M22/(0.9*365*0.001)</f>
        <v>804.99621917808213</v>
      </c>
      <c r="M22" s="898">
        <f>P22*0.112194</f>
        <v>264.441258</v>
      </c>
      <c r="N22" s="775" t="s">
        <v>1444</v>
      </c>
      <c r="O22" s="899"/>
      <c r="P22" s="898">
        <v>2357</v>
      </c>
      <c r="Q22" s="843"/>
      <c r="R22" s="843" t="s">
        <v>937</v>
      </c>
      <c r="S22" s="900" t="s">
        <v>938</v>
      </c>
      <c r="T22" s="901"/>
      <c r="U22" s="336"/>
      <c r="V22" s="895" t="s">
        <v>932</v>
      </c>
    </row>
    <row r="23" spans="1:22" ht="20.25" customHeight="1">
      <c r="A23" s="618"/>
      <c r="B23" s="1696" t="s">
        <v>93</v>
      </c>
      <c r="C23" s="1696"/>
      <c r="D23" s="620"/>
      <c r="E23" s="621"/>
      <c r="F23" s="621"/>
      <c r="G23" s="621"/>
      <c r="H23" s="621"/>
      <c r="I23" s="747"/>
      <c r="J23" s="747"/>
      <c r="K23" s="747"/>
      <c r="L23" s="624"/>
      <c r="M23" s="624"/>
      <c r="N23" s="625"/>
      <c r="O23" s="909"/>
      <c r="P23" s="624"/>
      <c r="Q23" s="626"/>
      <c r="R23" s="748"/>
      <c r="S23" s="748"/>
      <c r="T23" s="627"/>
      <c r="U23" s="749"/>
      <c r="V23" s="1325"/>
    </row>
    <row r="24" spans="1:22" ht="141.75" customHeight="1">
      <c r="A24" s="902" t="s">
        <v>96</v>
      </c>
      <c r="B24" s="707" t="s">
        <v>944</v>
      </c>
      <c r="C24" s="393" t="s">
        <v>424</v>
      </c>
      <c r="D24" s="709" t="s">
        <v>50</v>
      </c>
      <c r="E24" s="903">
        <v>43160</v>
      </c>
      <c r="F24" s="967" t="s">
        <v>1190</v>
      </c>
      <c r="G24" s="713" t="s">
        <v>946</v>
      </c>
      <c r="H24" s="376" t="s">
        <v>1720</v>
      </c>
      <c r="I24" s="904"/>
      <c r="J24" s="905" t="s">
        <v>945</v>
      </c>
      <c r="K24" s="904"/>
      <c r="L24" s="906">
        <f>M24/( 0.001 * 365*0.9)</f>
        <v>51230.136986301361</v>
      </c>
      <c r="M24" s="708">
        <f>P24*0.112194</f>
        <v>16829.099999999999</v>
      </c>
      <c r="N24" s="389" t="s">
        <v>1444</v>
      </c>
      <c r="O24" s="583" t="s">
        <v>1191</v>
      </c>
      <c r="P24" s="708">
        <v>150000</v>
      </c>
      <c r="Q24" s="907">
        <v>200000</v>
      </c>
      <c r="R24" s="710" t="s">
        <v>946</v>
      </c>
      <c r="S24" s="710"/>
      <c r="T24" s="908">
        <v>3000</v>
      </c>
      <c r="U24" s="393" t="s">
        <v>1468</v>
      </c>
      <c r="V24" s="393" t="s">
        <v>943</v>
      </c>
    </row>
    <row r="25" spans="1:22" s="804" customFormat="1" ht="199.5">
      <c r="A25" s="1198" t="s">
        <v>96</v>
      </c>
      <c r="B25" s="1198" t="s">
        <v>1024</v>
      </c>
      <c r="C25" s="113" t="s">
        <v>1025</v>
      </c>
      <c r="D25" s="1342" t="s">
        <v>170</v>
      </c>
      <c r="E25" s="1198"/>
      <c r="F25" s="113" t="s">
        <v>135</v>
      </c>
      <c r="G25" s="790" t="s">
        <v>1224</v>
      </c>
      <c r="H25" s="1608" t="s">
        <v>1026</v>
      </c>
      <c r="I25" s="1273" t="s">
        <v>1226</v>
      </c>
      <c r="J25" s="1273" t="s">
        <v>1227</v>
      </c>
      <c r="K25" s="1275">
        <f>(L25/6)*10</f>
        <v>65460.730593607295</v>
      </c>
      <c r="L25" s="1275">
        <f>M25/(0.001*365*0.9)</f>
        <v>39276.438356164377</v>
      </c>
      <c r="M25" s="1275">
        <f>P25*0.112194</f>
        <v>12902.31</v>
      </c>
      <c r="N25" s="1518" t="s">
        <v>1444</v>
      </c>
      <c r="O25" s="548" t="s">
        <v>1225</v>
      </c>
      <c r="P25" s="1091">
        <v>115000</v>
      </c>
      <c r="Q25" s="415"/>
      <c r="R25" s="1278" t="s">
        <v>1027</v>
      </c>
      <c r="S25" s="1279"/>
      <c r="T25" s="1609">
        <v>1000</v>
      </c>
      <c r="U25" s="1280"/>
      <c r="V25" s="113" t="s">
        <v>1221</v>
      </c>
    </row>
    <row r="26" spans="1:22" ht="31.9" customHeight="1">
      <c r="A26" s="202" t="s">
        <v>96</v>
      </c>
      <c r="B26" s="1272" t="s">
        <v>1365</v>
      </c>
      <c r="C26" s="1271" t="s">
        <v>1472</v>
      </c>
      <c r="D26" s="1236" t="s">
        <v>1366</v>
      </c>
      <c r="E26" s="1271" t="s">
        <v>1374</v>
      </c>
      <c r="F26" s="1271" t="s">
        <v>1237</v>
      </c>
      <c r="G26" s="571" t="s">
        <v>1365</v>
      </c>
      <c r="H26" s="571" t="s">
        <v>1377</v>
      </c>
      <c r="I26" s="1274" t="s">
        <v>1375</v>
      </c>
      <c r="J26" s="1274" t="s">
        <v>1364</v>
      </c>
      <c r="K26" s="1271"/>
      <c r="L26" s="1271"/>
      <c r="M26" s="1519">
        <v>72000</v>
      </c>
      <c r="N26" s="948" t="s">
        <v>1443</v>
      </c>
      <c r="O26" s="1271" t="s">
        <v>38</v>
      </c>
      <c r="P26" s="1277"/>
      <c r="Q26" s="1271"/>
      <c r="R26" s="571" t="s">
        <v>1376</v>
      </c>
      <c r="S26" s="1271" t="s">
        <v>915</v>
      </c>
      <c r="T26" s="1271"/>
      <c r="U26" s="1281"/>
      <c r="V26" s="201" t="s">
        <v>1363</v>
      </c>
    </row>
    <row r="27" spans="1:22" s="832" customFormat="1" ht="55.5">
      <c r="A27" s="436" t="s">
        <v>96</v>
      </c>
      <c r="B27" s="811" t="s">
        <v>1367</v>
      </c>
      <c r="C27" s="805" t="s">
        <v>1473</v>
      </c>
      <c r="D27" s="806" t="s">
        <v>225</v>
      </c>
      <c r="E27" s="805" t="s">
        <v>1372</v>
      </c>
      <c r="F27" s="805" t="s">
        <v>135</v>
      </c>
      <c r="G27" s="807" t="s">
        <v>1368</v>
      </c>
      <c r="H27" s="525" t="s">
        <v>1373</v>
      </c>
      <c r="I27" s="524" t="s">
        <v>1370</v>
      </c>
      <c r="J27" s="524" t="s">
        <v>1371</v>
      </c>
      <c r="K27" s="526">
        <v>400000</v>
      </c>
      <c r="L27" s="526">
        <f>K27*0.6</f>
        <v>240000</v>
      </c>
      <c r="M27" s="809">
        <f>L27*0.001*365*0.9</f>
        <v>78840</v>
      </c>
      <c r="N27" s="1276" t="s">
        <v>1443</v>
      </c>
      <c r="O27" s="805" t="s">
        <v>66</v>
      </c>
      <c r="P27" s="809">
        <f>M27/0.112194</f>
        <v>702711.37493983633</v>
      </c>
      <c r="Q27" s="805"/>
      <c r="R27" s="805"/>
      <c r="S27" s="805"/>
      <c r="T27" s="805"/>
      <c r="U27" s="831"/>
      <c r="V27" s="807" t="s">
        <v>1369</v>
      </c>
    </row>
    <row r="28" spans="1:22" ht="115.5" customHeight="1">
      <c r="A28" s="280" t="s">
        <v>96</v>
      </c>
      <c r="B28" s="312" t="s">
        <v>968</v>
      </c>
      <c r="C28" s="294" t="s">
        <v>969</v>
      </c>
      <c r="D28" s="291" t="s">
        <v>593</v>
      </c>
      <c r="E28" s="381" t="s">
        <v>1263</v>
      </c>
      <c r="F28" s="294" t="s">
        <v>1449</v>
      </c>
      <c r="G28" s="294" t="s">
        <v>1262</v>
      </c>
      <c r="H28" s="294" t="s">
        <v>970</v>
      </c>
      <c r="I28" s="421" t="s">
        <v>971</v>
      </c>
      <c r="J28" s="421" t="s">
        <v>972</v>
      </c>
      <c r="K28" s="422"/>
      <c r="L28" s="300">
        <v>1800000</v>
      </c>
      <c r="M28" s="208">
        <f>L28*1020/1000000*365</f>
        <v>670140</v>
      </c>
      <c r="N28" s="312" t="s">
        <v>1443</v>
      </c>
      <c r="O28" s="289"/>
      <c r="P28" s="208">
        <f>M28/0.112194</f>
        <v>5973046.6869886089</v>
      </c>
      <c r="Q28" s="382"/>
      <c r="R28" s="382"/>
      <c r="S28" s="382" t="s">
        <v>66</v>
      </c>
      <c r="T28" s="437" t="s">
        <v>973</v>
      </c>
      <c r="U28" s="423"/>
      <c r="V28" s="294" t="s">
        <v>1261</v>
      </c>
    </row>
    <row r="29" spans="1:22" ht="78.75" customHeight="1">
      <c r="A29" s="574" t="s">
        <v>96</v>
      </c>
      <c r="B29" s="401" t="s">
        <v>960</v>
      </c>
      <c r="C29" s="322" t="s">
        <v>961</v>
      </c>
      <c r="D29" s="829" t="s">
        <v>171</v>
      </c>
      <c r="E29" s="309"/>
      <c r="F29" s="591" t="s">
        <v>1451</v>
      </c>
      <c r="G29" s="591" t="s">
        <v>962</v>
      </c>
      <c r="H29" s="591" t="s">
        <v>1228</v>
      </c>
      <c r="I29" s="593" t="s">
        <v>1229</v>
      </c>
      <c r="J29" s="595" t="s">
        <v>963</v>
      </c>
      <c r="K29" s="328">
        <v>1600000</v>
      </c>
      <c r="L29" s="288">
        <v>915000</v>
      </c>
      <c r="M29" s="596">
        <f>K29*365*600/1000000*0.95*0.96</f>
        <v>319564.79999999999</v>
      </c>
      <c r="N29" s="280" t="s">
        <v>1445</v>
      </c>
      <c r="O29" s="1522" t="s">
        <v>1230</v>
      </c>
      <c r="P29" s="1521"/>
      <c r="Q29" s="596">
        <f>M29/0.125</f>
        <v>2556518.3999999999</v>
      </c>
      <c r="R29" s="548" t="s">
        <v>1231</v>
      </c>
      <c r="S29" s="597" t="s">
        <v>964</v>
      </c>
      <c r="T29" s="598" t="s">
        <v>1491</v>
      </c>
      <c r="U29" s="345" t="s">
        <v>27</v>
      </c>
      <c r="V29" s="322" t="s">
        <v>959</v>
      </c>
    </row>
    <row r="30" spans="1:22" ht="60.75" customHeight="1">
      <c r="A30" s="1315" t="s">
        <v>96</v>
      </c>
      <c r="B30" s="737" t="s">
        <v>957</v>
      </c>
      <c r="C30" s="738" t="s">
        <v>1474</v>
      </c>
      <c r="D30" s="1343" t="s">
        <v>121</v>
      </c>
      <c r="E30" s="739" t="s">
        <v>958</v>
      </c>
      <c r="F30" s="739" t="s">
        <v>1450</v>
      </c>
      <c r="G30" s="739" t="s">
        <v>1242</v>
      </c>
      <c r="H30" s="739" t="s">
        <v>1243</v>
      </c>
      <c r="I30" s="594" t="s">
        <v>1244</v>
      </c>
      <c r="J30" s="740" t="s">
        <v>1245</v>
      </c>
      <c r="K30" s="741">
        <f>L30/6*10</f>
        <v>240000</v>
      </c>
      <c r="L30" s="742">
        <f>100*60*24</f>
        <v>144000</v>
      </c>
      <c r="M30" s="741">
        <f>L30*0.001*365*0.9</f>
        <v>47304</v>
      </c>
      <c r="N30" s="775" t="s">
        <v>1444</v>
      </c>
      <c r="O30" s="573"/>
      <c r="P30" s="741">
        <f>M30/0.112194</f>
        <v>421626.82496390183</v>
      </c>
      <c r="Q30" s="743"/>
      <c r="R30" s="744" t="s">
        <v>738</v>
      </c>
      <c r="S30" s="745" t="s">
        <v>66</v>
      </c>
      <c r="T30" s="1610" t="s">
        <v>1492</v>
      </c>
      <c r="U30" s="746"/>
      <c r="V30" s="736" t="s">
        <v>956</v>
      </c>
    </row>
    <row r="31" spans="1:22" ht="15.75">
      <c r="A31" s="618"/>
      <c r="B31" s="615" t="s">
        <v>187</v>
      </c>
      <c r="C31" s="619"/>
      <c r="D31" s="620"/>
      <c r="E31" s="621"/>
      <c r="F31" s="621"/>
      <c r="G31" s="621"/>
      <c r="H31" s="621"/>
      <c r="I31" s="747"/>
      <c r="J31" s="747"/>
      <c r="K31" s="747"/>
      <c r="L31" s="624"/>
      <c r="M31" s="624"/>
      <c r="N31" s="625"/>
      <c r="O31" s="625"/>
      <c r="P31" s="624"/>
      <c r="Q31" s="626"/>
      <c r="R31" s="748"/>
      <c r="S31" s="748"/>
      <c r="T31" s="627"/>
      <c r="U31" s="749"/>
      <c r="V31" s="1325"/>
    </row>
    <row r="32" spans="1:22" ht="87" customHeight="1">
      <c r="A32" s="389" t="s">
        <v>190</v>
      </c>
      <c r="B32" s="389" t="s">
        <v>975</v>
      </c>
      <c r="C32" s="376" t="s">
        <v>977</v>
      </c>
      <c r="D32" s="390" t="s">
        <v>50</v>
      </c>
      <c r="E32" s="391" t="s">
        <v>978</v>
      </c>
      <c r="F32" s="376" t="s">
        <v>135</v>
      </c>
      <c r="G32" s="376" t="s">
        <v>979</v>
      </c>
      <c r="H32" s="391" t="s">
        <v>980</v>
      </c>
      <c r="I32" s="376" t="s">
        <v>981</v>
      </c>
      <c r="J32" s="376" t="s">
        <v>982</v>
      </c>
      <c r="K32" s="376">
        <v>0</v>
      </c>
      <c r="L32" s="392"/>
      <c r="M32" s="376"/>
      <c r="N32" s="389" t="s">
        <v>1447</v>
      </c>
      <c r="O32" s="399"/>
      <c r="P32" s="751"/>
      <c r="Q32" s="399"/>
      <c r="R32" s="392"/>
      <c r="S32" s="752" t="s">
        <v>983</v>
      </c>
      <c r="T32" s="398">
        <v>1298494</v>
      </c>
      <c r="U32" s="353"/>
      <c r="V32" s="376" t="s">
        <v>974</v>
      </c>
    </row>
    <row r="33" spans="1:128" s="832" customFormat="1" ht="69.75" customHeight="1">
      <c r="A33" s="277" t="s">
        <v>1440</v>
      </c>
      <c r="B33" s="277" t="s">
        <v>985</v>
      </c>
      <c r="C33" s="825" t="s">
        <v>814</v>
      </c>
      <c r="D33" s="282" t="s">
        <v>50</v>
      </c>
      <c r="E33" s="438">
        <v>40634</v>
      </c>
      <c r="F33" s="825" t="s">
        <v>135</v>
      </c>
      <c r="G33" s="825"/>
      <c r="H33" s="825"/>
      <c r="I33" s="412"/>
      <c r="J33" s="425" t="s">
        <v>986</v>
      </c>
      <c r="K33" s="425"/>
      <c r="L33" s="305">
        <v>6000000</v>
      </c>
      <c r="M33" s="208">
        <f>L33*0.001*365*0.9</f>
        <v>1971000</v>
      </c>
      <c r="N33" s="280" t="s">
        <v>1447</v>
      </c>
      <c r="O33" s="304"/>
      <c r="P33" s="413">
        <f>M33/0.112194</f>
        <v>17567784.37349591</v>
      </c>
      <c r="Q33" s="304"/>
      <c r="R33" s="425"/>
      <c r="S33" s="425" t="s">
        <v>987</v>
      </c>
      <c r="T33" s="439"/>
      <c r="U33" s="826"/>
      <c r="V33" s="825" t="s">
        <v>984</v>
      </c>
    </row>
    <row r="34" spans="1:128" ht="57.75" customHeight="1">
      <c r="A34" s="277" t="s">
        <v>194</v>
      </c>
      <c r="B34" s="277" t="s">
        <v>989</v>
      </c>
      <c r="C34" s="287" t="s">
        <v>328</v>
      </c>
      <c r="D34" s="282" t="s">
        <v>50</v>
      </c>
      <c r="E34" s="823">
        <v>2012</v>
      </c>
      <c r="F34" s="825" t="s">
        <v>135</v>
      </c>
      <c r="G34" s="287" t="s">
        <v>990</v>
      </c>
      <c r="H34" s="287" t="s">
        <v>991</v>
      </c>
      <c r="I34" s="412"/>
      <c r="J34" s="412"/>
      <c r="K34" s="412"/>
      <c r="L34" s="305"/>
      <c r="M34" s="305"/>
      <c r="N34" s="280" t="s">
        <v>1444</v>
      </c>
      <c r="O34" s="304"/>
      <c r="P34" s="305"/>
      <c r="Q34" s="304"/>
      <c r="R34" s="304"/>
      <c r="S34" s="304"/>
      <c r="T34" s="439"/>
      <c r="U34" s="308"/>
      <c r="V34" s="820" t="s">
        <v>988</v>
      </c>
    </row>
    <row r="35" spans="1:128" ht="43.5" customHeight="1">
      <c r="A35" s="277" t="s">
        <v>190</v>
      </c>
      <c r="B35" s="280" t="s">
        <v>993</v>
      </c>
      <c r="C35" s="820" t="s">
        <v>994</v>
      </c>
      <c r="D35" s="282" t="s">
        <v>170</v>
      </c>
      <c r="E35" s="284"/>
      <c r="F35" s="825" t="s">
        <v>135</v>
      </c>
      <c r="G35" s="820" t="s">
        <v>995</v>
      </c>
      <c r="H35" s="820" t="s">
        <v>996</v>
      </c>
      <c r="I35" s="820"/>
      <c r="J35" s="820"/>
      <c r="K35" s="820"/>
      <c r="L35" s="440"/>
      <c r="M35" s="305"/>
      <c r="N35" s="280" t="s">
        <v>1444</v>
      </c>
      <c r="O35" s="304"/>
      <c r="P35" s="440"/>
      <c r="Q35" s="823"/>
      <c r="R35" s="823"/>
      <c r="S35" s="823"/>
      <c r="T35" s="823"/>
      <c r="U35" s="308"/>
      <c r="V35" s="820" t="s">
        <v>992</v>
      </c>
    </row>
    <row r="36" spans="1:128" ht="28.5">
      <c r="A36" s="277" t="s">
        <v>190</v>
      </c>
      <c r="B36" s="277" t="s">
        <v>998</v>
      </c>
      <c r="C36" s="825" t="s">
        <v>999</v>
      </c>
      <c r="D36" s="282" t="s">
        <v>1000</v>
      </c>
      <c r="E36" s="284"/>
      <c r="F36" s="825" t="s">
        <v>135</v>
      </c>
      <c r="G36" s="825" t="s">
        <v>1001</v>
      </c>
      <c r="H36" s="825" t="s">
        <v>1002</v>
      </c>
      <c r="I36" s="412"/>
      <c r="J36" s="412" t="s">
        <v>1003</v>
      </c>
      <c r="K36" s="412"/>
      <c r="L36" s="440"/>
      <c r="M36" s="440"/>
      <c r="N36" s="280" t="s">
        <v>1444</v>
      </c>
      <c r="O36" s="304"/>
      <c r="P36" s="440"/>
      <c r="Q36" s="304"/>
      <c r="R36" s="304"/>
      <c r="S36" s="304"/>
      <c r="T36" s="420"/>
      <c r="U36" s="308"/>
      <c r="V36" s="825" t="s">
        <v>997</v>
      </c>
    </row>
    <row r="37" spans="1:128" ht="39.75" customHeight="1">
      <c r="A37" s="277" t="s">
        <v>1441</v>
      </c>
      <c r="B37" s="277" t="s">
        <v>1005</v>
      </c>
      <c r="C37" s="287" t="s">
        <v>544</v>
      </c>
      <c r="D37" s="282" t="s">
        <v>212</v>
      </c>
      <c r="E37" s="284">
        <v>2013</v>
      </c>
      <c r="F37" s="825" t="s">
        <v>135</v>
      </c>
      <c r="G37" s="287" t="s">
        <v>1006</v>
      </c>
      <c r="H37" s="287" t="s">
        <v>1007</v>
      </c>
      <c r="I37" s="412" t="s">
        <v>1008</v>
      </c>
      <c r="J37" s="412" t="s">
        <v>1009</v>
      </c>
      <c r="K37" s="412"/>
      <c r="L37" s="425">
        <f>M37/( 0.001 * 365*0.9)</f>
        <v>58402.356164383542</v>
      </c>
      <c r="M37" s="305">
        <f>P37*0.112194</f>
        <v>19185.173999999995</v>
      </c>
      <c r="N37" s="280" t="s">
        <v>1445</v>
      </c>
      <c r="O37" s="304"/>
      <c r="P37" s="305">
        <f>150000*1.14</f>
        <v>170999.99999999997</v>
      </c>
      <c r="Q37" s="304"/>
      <c r="R37" s="304"/>
      <c r="S37" s="304" t="s">
        <v>1010</v>
      </c>
      <c r="T37" s="420"/>
      <c r="U37" s="308"/>
      <c r="V37" s="287" t="s">
        <v>1004</v>
      </c>
    </row>
    <row r="38" spans="1:128" ht="36" customHeight="1">
      <c r="A38" s="277" t="s">
        <v>327</v>
      </c>
      <c r="B38" s="277" t="s">
        <v>1012</v>
      </c>
      <c r="C38" s="287" t="s">
        <v>444</v>
      </c>
      <c r="D38" s="282" t="s">
        <v>43</v>
      </c>
      <c r="E38" s="284">
        <v>2011</v>
      </c>
      <c r="F38" s="825" t="s">
        <v>135</v>
      </c>
      <c r="G38" s="287" t="s">
        <v>1013</v>
      </c>
      <c r="H38" s="412" t="s">
        <v>1014</v>
      </c>
      <c r="I38" s="412" t="s">
        <v>1015</v>
      </c>
      <c r="J38" s="412" t="s">
        <v>1016</v>
      </c>
      <c r="K38" s="412"/>
      <c r="L38" s="305">
        <v>550000</v>
      </c>
      <c r="M38" s="208">
        <f>L38*0.001*365*0.9</f>
        <v>180675</v>
      </c>
      <c r="N38" s="280" t="s">
        <v>1443</v>
      </c>
      <c r="O38" s="304"/>
      <c r="P38" s="208">
        <f>M38/0.112194</f>
        <v>1610380.2342371249</v>
      </c>
      <c r="Q38" s="823"/>
      <c r="R38" s="823"/>
      <c r="S38" s="823"/>
      <c r="T38" s="823"/>
      <c r="U38" s="308"/>
      <c r="V38" s="287" t="s">
        <v>1011</v>
      </c>
    </row>
    <row r="39" spans="1:128" ht="58.5" customHeight="1">
      <c r="A39" s="277" t="s">
        <v>1441</v>
      </c>
      <c r="B39" s="277" t="s">
        <v>1435</v>
      </c>
      <c r="C39" s="287" t="s">
        <v>1436</v>
      </c>
      <c r="D39" s="282" t="s">
        <v>43</v>
      </c>
      <c r="E39" s="284"/>
      <c r="F39" s="825" t="s">
        <v>135</v>
      </c>
      <c r="G39" s="287" t="s">
        <v>88</v>
      </c>
      <c r="H39" s="825" t="s">
        <v>1437</v>
      </c>
      <c r="I39" s="417"/>
      <c r="J39" s="417" t="s">
        <v>1438</v>
      </c>
      <c r="K39" s="417"/>
      <c r="L39" s="413">
        <f>M39/( 0.001 * 365*0.9)</f>
        <v>201949.19999999998</v>
      </c>
      <c r="M39" s="208">
        <f>P39*0.112194</f>
        <v>66340.3122</v>
      </c>
      <c r="N39" s="280" t="s">
        <v>1444</v>
      </c>
      <c r="O39" s="304"/>
      <c r="P39" s="305">
        <f>1800*365*0.9</f>
        <v>591300</v>
      </c>
      <c r="Q39" s="284"/>
      <c r="R39" s="284"/>
      <c r="S39" s="284" t="s">
        <v>1439</v>
      </c>
      <c r="T39" s="284"/>
      <c r="U39" s="308"/>
      <c r="V39" s="287" t="s">
        <v>1434</v>
      </c>
    </row>
    <row r="40" spans="1:128" s="523" customFormat="1">
      <c r="A40" s="644"/>
      <c r="B40" s="644"/>
      <c r="C40" s="645"/>
      <c r="D40" s="645"/>
      <c r="E40" s="646"/>
      <c r="F40" s="647"/>
      <c r="G40" s="647"/>
      <c r="H40" s="647"/>
      <c r="I40" s="647"/>
      <c r="J40" s="753"/>
      <c r="K40" s="753"/>
      <c r="L40" s="753"/>
      <c r="M40" s="650"/>
      <c r="N40" s="650"/>
      <c r="O40" s="651"/>
      <c r="P40" s="651"/>
      <c r="Q40" s="650"/>
      <c r="R40" s="652"/>
      <c r="S40" s="754"/>
      <c r="T40" s="754"/>
      <c r="U40" s="653"/>
      <c r="V40" s="755"/>
      <c r="W40" s="644"/>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row>
    <row r="41" spans="1:128">
      <c r="A41" s="1"/>
      <c r="B41" s="1"/>
      <c r="C41" s="1"/>
      <c r="D41" s="1"/>
      <c r="E41" s="1"/>
      <c r="F41" s="1"/>
      <c r="G41" s="1"/>
      <c r="H41" s="1"/>
      <c r="I41" s="1"/>
      <c r="J41" s="1"/>
      <c r="K41" s="1"/>
      <c r="L41" s="1"/>
      <c r="M41" s="1"/>
      <c r="N41" s="1"/>
      <c r="O41" s="1"/>
      <c r="P41" s="1"/>
      <c r="Q41" s="1"/>
      <c r="R41" s="1"/>
      <c r="S41" s="1"/>
      <c r="T41" s="1"/>
      <c r="U41" s="1"/>
      <c r="V41" s="1"/>
      <c r="W41" s="1"/>
      <c r="X41" s="1"/>
      <c r="Y41" s="1"/>
    </row>
    <row r="42" spans="1:128" ht="18.75">
      <c r="A42" s="1"/>
      <c r="B42" s="1"/>
      <c r="C42" s="1700" t="s">
        <v>1665</v>
      </c>
      <c r="D42" s="1700"/>
      <c r="E42" s="1700"/>
      <c r="F42" s="1700"/>
      <c r="G42" s="1700"/>
      <c r="H42" s="1"/>
      <c r="I42" s="1"/>
      <c r="J42" s="1"/>
      <c r="K42" s="1"/>
      <c r="L42" s="1"/>
      <c r="M42" s="1"/>
      <c r="N42" s="1"/>
      <c r="O42" s="1"/>
      <c r="P42" s="1"/>
      <c r="Q42" s="1"/>
      <c r="R42" s="1"/>
      <c r="S42" s="1"/>
      <c r="T42" s="1"/>
      <c r="U42" s="1"/>
      <c r="V42" s="1"/>
      <c r="W42" s="1"/>
      <c r="X42" s="1"/>
      <c r="Y42" s="1"/>
    </row>
    <row r="43" spans="1:128" ht="15" customHeight="1">
      <c r="A43" s="1"/>
      <c r="B43" s="1"/>
      <c r="C43" s="1641" t="s">
        <v>46</v>
      </c>
      <c r="D43" s="1641"/>
      <c r="E43" s="1689">
        <v>13</v>
      </c>
      <c r="F43" s="1689"/>
      <c r="G43" s="1689"/>
      <c r="H43" s="441"/>
      <c r="I43" s="441"/>
      <c r="J43" s="441"/>
      <c r="K43" s="441"/>
      <c r="L43" s="441"/>
      <c r="M43" s="441"/>
      <c r="N43" s="441"/>
      <c r="O43" s="441"/>
      <c r="P43" s="441"/>
      <c r="Q43" s="441"/>
      <c r="R43" s="441"/>
      <c r="S43" s="441"/>
      <c r="T43" s="441"/>
      <c r="U43" s="441"/>
      <c r="V43" s="165"/>
      <c r="W43" s="441"/>
      <c r="X43" s="441"/>
      <c r="Y43" s="441"/>
    </row>
    <row r="44" spans="1:128" ht="15" customHeight="1">
      <c r="A44" s="1"/>
      <c r="B44" s="1"/>
      <c r="C44" s="1641" t="s">
        <v>277</v>
      </c>
      <c r="D44" s="1641"/>
      <c r="E44" s="1689">
        <v>7</v>
      </c>
      <c r="F44" s="1689"/>
      <c r="G44" s="1689"/>
      <c r="H44" s="441"/>
      <c r="I44" s="441"/>
      <c r="J44" s="441"/>
      <c r="K44" s="441"/>
      <c r="L44" s="441"/>
      <c r="M44" s="441"/>
      <c r="N44" s="441"/>
      <c r="O44" s="441"/>
      <c r="P44" s="441"/>
      <c r="Q44" s="441"/>
      <c r="R44" s="441"/>
      <c r="S44" s="441"/>
      <c r="T44" s="441"/>
      <c r="U44" s="441"/>
      <c r="V44" s="165"/>
      <c r="W44" s="441"/>
      <c r="X44" s="441"/>
      <c r="Y44" s="441"/>
    </row>
    <row r="45" spans="1:128" ht="15" customHeight="1">
      <c r="A45" s="1"/>
      <c r="B45" s="441"/>
      <c r="C45" s="1641" t="s">
        <v>278</v>
      </c>
      <c r="D45" s="1641"/>
      <c r="E45" s="1689">
        <v>11</v>
      </c>
      <c r="F45" s="1689"/>
      <c r="G45" s="1689"/>
      <c r="H45" s="1"/>
      <c r="I45" s="1"/>
      <c r="J45" s="1"/>
      <c r="K45" s="1"/>
      <c r="L45" s="1"/>
      <c r="M45" s="1"/>
      <c r="N45" s="1"/>
      <c r="O45" s="1"/>
      <c r="P45" s="1"/>
      <c r="Q45" s="1"/>
      <c r="R45" s="1"/>
      <c r="S45" s="1"/>
      <c r="T45" s="1"/>
      <c r="U45" s="1"/>
      <c r="V45" s="1"/>
      <c r="W45" s="1"/>
      <c r="X45" s="1"/>
      <c r="Y45" s="1"/>
    </row>
    <row r="46" spans="1:128" ht="15" customHeight="1">
      <c r="A46" s="1"/>
      <c r="B46" s="441"/>
      <c r="C46" s="1641" t="s">
        <v>280</v>
      </c>
      <c r="D46" s="1641"/>
      <c r="E46" s="1689">
        <v>1</v>
      </c>
      <c r="F46" s="1689"/>
      <c r="G46" s="1689"/>
      <c r="H46" s="1"/>
      <c r="I46" s="1"/>
      <c r="J46" s="1"/>
      <c r="K46" s="1"/>
      <c r="L46" s="1"/>
      <c r="M46" s="1"/>
      <c r="N46" s="1"/>
      <c r="O46" s="1"/>
      <c r="P46" s="1"/>
      <c r="Q46" s="1"/>
      <c r="R46" s="1"/>
      <c r="S46" s="1"/>
      <c r="T46" s="1"/>
      <c r="U46" s="1"/>
      <c r="V46" s="1"/>
      <c r="W46" s="1"/>
      <c r="X46" s="1"/>
      <c r="Y46" s="1"/>
    </row>
    <row r="47" spans="1:128" s="832" customFormat="1" ht="15" customHeight="1">
      <c r="A47" s="833"/>
      <c r="B47" s="441"/>
      <c r="C47" s="1641" t="s">
        <v>1400</v>
      </c>
      <c r="D47" s="1641"/>
      <c r="E47" s="1689">
        <v>1</v>
      </c>
      <c r="F47" s="1689"/>
      <c r="G47" s="1689"/>
      <c r="H47" s="833"/>
      <c r="I47" s="833"/>
      <c r="J47" s="833"/>
      <c r="K47" s="833"/>
      <c r="L47" s="833"/>
      <c r="M47" s="833"/>
      <c r="N47" s="833"/>
      <c r="O47" s="833"/>
      <c r="P47" s="833"/>
      <c r="Q47" s="833"/>
      <c r="R47" s="833"/>
      <c r="S47" s="833"/>
      <c r="T47" s="833"/>
      <c r="U47" s="833"/>
      <c r="V47" s="833"/>
      <c r="W47" s="833"/>
      <c r="X47" s="833"/>
      <c r="Y47" s="833"/>
    </row>
    <row r="48" spans="1:128" ht="15" customHeight="1">
      <c r="A48" s="1"/>
      <c r="B48" s="441"/>
      <c r="C48" s="1641" t="s">
        <v>283</v>
      </c>
      <c r="D48" s="1641"/>
      <c r="E48" s="1689">
        <v>3</v>
      </c>
      <c r="F48" s="1689"/>
      <c r="G48" s="1689"/>
      <c r="H48" s="1"/>
      <c r="I48" s="1"/>
      <c r="J48" s="1"/>
      <c r="K48" s="1"/>
      <c r="L48" s="1"/>
      <c r="M48" s="1"/>
      <c r="N48" s="1"/>
      <c r="O48" s="1"/>
      <c r="P48" s="1"/>
      <c r="Q48" s="1"/>
      <c r="R48" s="1"/>
      <c r="S48" s="1"/>
      <c r="T48" s="1"/>
      <c r="U48" s="1"/>
      <c r="V48" s="1"/>
      <c r="W48" s="1"/>
      <c r="X48" s="1"/>
      <c r="Y48" s="1"/>
    </row>
    <row r="49" spans="1:25" s="832" customFormat="1" ht="15" customHeight="1">
      <c r="A49" s="833"/>
      <c r="B49" s="441"/>
      <c r="C49" s="1641" t="s">
        <v>1403</v>
      </c>
      <c r="D49" s="1641"/>
      <c r="E49" s="1689">
        <v>2</v>
      </c>
      <c r="F49" s="1689"/>
      <c r="G49" s="1689"/>
      <c r="H49" s="833"/>
      <c r="I49" s="833"/>
      <c r="J49" s="833"/>
      <c r="K49" s="833"/>
      <c r="L49" s="833"/>
      <c r="M49" s="833"/>
      <c r="N49" s="833"/>
      <c r="O49" s="833"/>
      <c r="P49" s="833"/>
      <c r="Q49" s="833"/>
      <c r="R49" s="833"/>
      <c r="S49" s="833"/>
      <c r="T49" s="833"/>
      <c r="U49" s="833"/>
      <c r="V49" s="833"/>
      <c r="W49" s="833"/>
      <c r="X49" s="833"/>
      <c r="Y49" s="833"/>
    </row>
    <row r="50" spans="1:25" ht="15" customHeight="1">
      <c r="A50" s="1"/>
      <c r="B50" s="441"/>
      <c r="C50" s="1641" t="s">
        <v>1028</v>
      </c>
      <c r="D50" s="1641"/>
      <c r="E50" s="1689">
        <v>36</v>
      </c>
      <c r="F50" s="1689"/>
      <c r="G50" s="1689"/>
      <c r="H50" s="1"/>
      <c r="I50" s="1"/>
      <c r="J50" s="1"/>
      <c r="K50" s="1"/>
      <c r="L50" s="1"/>
      <c r="M50" s="1"/>
      <c r="N50" s="1"/>
      <c r="O50" s="1"/>
      <c r="P50" s="1"/>
      <c r="Q50" s="1"/>
      <c r="R50" s="1"/>
      <c r="S50" s="1"/>
      <c r="T50" s="1"/>
      <c r="U50" s="1"/>
      <c r="V50" s="1"/>
      <c r="W50" s="1"/>
      <c r="X50" s="1"/>
      <c r="Y50" s="1"/>
    </row>
    <row r="51" spans="1:25" s="832" customFormat="1">
      <c r="A51" s="833"/>
      <c r="B51" s="441"/>
      <c r="C51" s="1697"/>
      <c r="D51" s="1697"/>
      <c r="E51" s="1697"/>
      <c r="F51" s="1697"/>
      <c r="G51" s="1697"/>
      <c r="H51" s="833"/>
      <c r="I51" s="833"/>
      <c r="J51" s="833"/>
      <c r="K51" s="833"/>
      <c r="L51" s="833"/>
      <c r="M51" s="833"/>
      <c r="N51" s="833"/>
      <c r="O51" s="833"/>
      <c r="P51" s="833"/>
      <c r="Q51" s="833"/>
      <c r="R51" s="833"/>
      <c r="S51" s="833"/>
      <c r="T51" s="833"/>
      <c r="U51" s="833"/>
      <c r="V51" s="833"/>
      <c r="W51" s="833"/>
      <c r="X51" s="833"/>
      <c r="Y51" s="833"/>
    </row>
    <row r="52" spans="1:25" s="832" customFormat="1" ht="29.25" customHeight="1">
      <c r="A52" s="833"/>
      <c r="B52" s="441"/>
      <c r="C52" s="1636" t="s">
        <v>1553</v>
      </c>
      <c r="D52" s="1636"/>
      <c r="E52" s="1636"/>
      <c r="F52" s="1636"/>
      <c r="G52" s="1636"/>
      <c r="H52" s="833"/>
      <c r="I52" s="833"/>
      <c r="J52" s="833"/>
      <c r="K52" s="833"/>
      <c r="L52" s="833"/>
      <c r="M52" s="833"/>
      <c r="N52" s="833"/>
      <c r="O52" s="833"/>
      <c r="P52" s="833"/>
      <c r="Q52" s="833"/>
      <c r="R52" s="833"/>
      <c r="S52" s="833"/>
      <c r="T52" s="833"/>
      <c r="U52" s="833"/>
      <c r="V52" s="833"/>
      <c r="W52" s="833"/>
      <c r="X52" s="833"/>
      <c r="Y52" s="833"/>
    </row>
    <row r="53" spans="1:25" ht="34.5">
      <c r="A53" s="1"/>
      <c r="B53" s="441"/>
      <c r="C53" s="1553" t="s">
        <v>1531</v>
      </c>
      <c r="D53" s="1603" t="s">
        <v>1666</v>
      </c>
      <c r="E53" s="1554" t="s">
        <v>1541</v>
      </c>
      <c r="F53" s="1552" t="s">
        <v>1662</v>
      </c>
      <c r="G53" s="1552" t="s">
        <v>1538</v>
      </c>
      <c r="H53" s="1"/>
      <c r="I53" s="1"/>
      <c r="J53" s="1"/>
      <c r="K53" s="1"/>
      <c r="L53" s="1"/>
      <c r="M53" s="1"/>
      <c r="N53" s="1"/>
      <c r="O53" s="1"/>
      <c r="P53" s="1"/>
      <c r="Q53" s="1"/>
      <c r="R53" s="1"/>
      <c r="S53" s="1"/>
      <c r="T53" s="1"/>
      <c r="U53" s="1"/>
      <c r="V53" s="1"/>
      <c r="W53" s="1"/>
      <c r="X53" s="1"/>
      <c r="Y53" s="1"/>
    </row>
    <row r="54" spans="1:25">
      <c r="A54" s="1"/>
      <c r="B54" s="441"/>
      <c r="C54" s="265" t="s">
        <v>37</v>
      </c>
      <c r="D54" s="442">
        <v>6</v>
      </c>
      <c r="E54" s="265" t="s">
        <v>1527</v>
      </c>
      <c r="F54" s="1515">
        <v>641654</v>
      </c>
      <c r="G54" s="1515">
        <v>641654</v>
      </c>
      <c r="H54" s="1"/>
      <c r="I54" s="1"/>
      <c r="J54" s="1"/>
      <c r="K54" s="1"/>
      <c r="L54" s="1"/>
      <c r="M54" s="1"/>
      <c r="N54" s="1"/>
      <c r="O54" s="1"/>
      <c r="P54" s="1"/>
      <c r="Q54" s="1"/>
      <c r="R54" s="1"/>
      <c r="S54" s="1"/>
      <c r="T54" s="1"/>
      <c r="U54" s="1"/>
      <c r="V54" s="1"/>
      <c r="W54" s="1"/>
      <c r="X54" s="1"/>
      <c r="Y54" s="1"/>
    </row>
    <row r="55" spans="1:25">
      <c r="A55" s="1"/>
      <c r="B55" s="441"/>
      <c r="C55" s="266" t="s">
        <v>284</v>
      </c>
      <c r="D55" s="443">
        <v>7</v>
      </c>
      <c r="E55" s="266" t="s">
        <v>1527</v>
      </c>
      <c r="F55" s="444">
        <v>1306270.5272579999</v>
      </c>
      <c r="G55" s="444">
        <v>706270.52725799999</v>
      </c>
      <c r="H55" s="441"/>
      <c r="I55" s="441"/>
      <c r="J55" s="441"/>
      <c r="K55" s="441"/>
      <c r="L55" s="441"/>
      <c r="M55" s="441"/>
      <c r="N55" s="441"/>
      <c r="O55" s="441"/>
      <c r="P55" s="441"/>
      <c r="Q55" s="441"/>
      <c r="R55" s="441"/>
      <c r="S55" s="441"/>
      <c r="T55" s="441"/>
      <c r="U55" s="441"/>
      <c r="V55" s="165"/>
      <c r="W55" s="441"/>
      <c r="X55" s="441"/>
      <c r="Y55" s="441"/>
    </row>
    <row r="56" spans="1:25">
      <c r="A56" s="1"/>
      <c r="B56" s="441"/>
      <c r="C56" s="266" t="s">
        <v>285</v>
      </c>
      <c r="D56" s="443">
        <v>0</v>
      </c>
      <c r="E56" s="266" t="s">
        <v>1534</v>
      </c>
      <c r="F56" s="444">
        <v>0</v>
      </c>
      <c r="G56" s="444">
        <v>0</v>
      </c>
      <c r="H56" s="441"/>
      <c r="I56" s="441"/>
      <c r="J56" s="441"/>
      <c r="K56" s="441"/>
      <c r="L56" s="441"/>
      <c r="M56" s="441"/>
      <c r="N56" s="441"/>
      <c r="O56" s="441"/>
      <c r="P56" s="441"/>
      <c r="Q56" s="441"/>
      <c r="R56" s="441"/>
      <c r="S56" s="441"/>
      <c r="T56" s="441"/>
      <c r="U56" s="441"/>
      <c r="V56" s="165"/>
      <c r="W56" s="441"/>
      <c r="X56" s="441"/>
      <c r="Y56" s="441"/>
    </row>
    <row r="57" spans="1:25">
      <c r="A57" s="1"/>
      <c r="B57" s="441"/>
      <c r="C57" s="266" t="s">
        <v>133</v>
      </c>
      <c r="D57" s="443">
        <v>0</v>
      </c>
      <c r="E57" s="266" t="s">
        <v>1527</v>
      </c>
      <c r="F57" s="444">
        <v>0</v>
      </c>
      <c r="G57" s="444">
        <v>0</v>
      </c>
      <c r="H57" s="441"/>
      <c r="I57" s="441"/>
      <c r="J57" s="441"/>
      <c r="K57" s="441"/>
      <c r="L57" s="441"/>
      <c r="M57" s="441"/>
      <c r="N57" s="441"/>
      <c r="O57" s="441"/>
      <c r="P57" s="441"/>
      <c r="Q57" s="441"/>
      <c r="R57" s="441"/>
      <c r="S57" s="441"/>
      <c r="T57" s="441"/>
      <c r="U57" s="441"/>
      <c r="V57" s="165"/>
      <c r="W57" s="441"/>
      <c r="X57" s="441"/>
      <c r="Y57" s="441"/>
    </row>
    <row r="58" spans="1:25">
      <c r="A58" s="1"/>
      <c r="B58" s="441"/>
      <c r="C58" s="266" t="s">
        <v>163</v>
      </c>
      <c r="D58" s="443">
        <v>0</v>
      </c>
      <c r="E58" s="266" t="s">
        <v>1527</v>
      </c>
      <c r="F58" s="444">
        <v>0</v>
      </c>
      <c r="G58" s="444">
        <v>0</v>
      </c>
      <c r="H58" s="441"/>
      <c r="I58" s="441"/>
      <c r="J58" s="441"/>
      <c r="K58" s="441"/>
      <c r="L58" s="441"/>
      <c r="M58" s="441"/>
      <c r="N58" s="441"/>
      <c r="O58" s="441"/>
      <c r="P58" s="441"/>
      <c r="Q58" s="441"/>
      <c r="R58" s="441"/>
      <c r="S58" s="441"/>
      <c r="T58" s="441"/>
      <c r="U58" s="441"/>
      <c r="V58" s="165"/>
      <c r="W58" s="441"/>
      <c r="X58" s="441"/>
      <c r="Y58" s="441"/>
    </row>
    <row r="59" spans="1:25">
      <c r="A59" s="1"/>
      <c r="B59" s="441"/>
      <c r="C59" s="267" t="s">
        <v>1560</v>
      </c>
      <c r="D59" s="445">
        <v>13</v>
      </c>
      <c r="E59" s="266" t="s">
        <v>1527</v>
      </c>
      <c r="F59" s="444">
        <v>1947924.5272579999</v>
      </c>
      <c r="G59" s="444">
        <v>1347924.5272579999</v>
      </c>
      <c r="H59" s="441"/>
      <c r="I59" s="441"/>
      <c r="J59" s="441"/>
      <c r="K59" s="441"/>
      <c r="L59" s="441"/>
      <c r="M59" s="441"/>
      <c r="N59" s="441"/>
      <c r="O59" s="441"/>
      <c r="P59" s="441"/>
      <c r="Q59" s="441"/>
      <c r="R59" s="441"/>
      <c r="S59" s="441"/>
      <c r="T59" s="441"/>
      <c r="U59" s="441"/>
      <c r="V59" s="165"/>
      <c r="W59" s="441"/>
      <c r="X59" s="441"/>
      <c r="Y59" s="441"/>
    </row>
    <row r="60" spans="1:25" ht="15" customHeight="1">
      <c r="A60" s="1"/>
      <c r="B60" s="441"/>
      <c r="C60" s="446" t="s">
        <v>1532</v>
      </c>
      <c r="D60" s="447">
        <v>12</v>
      </c>
      <c r="E60" s="1"/>
      <c r="F60" s="1"/>
      <c r="G60" s="441"/>
      <c r="H60" s="441"/>
      <c r="I60" s="441"/>
      <c r="J60" s="441"/>
      <c r="K60" s="441"/>
      <c r="L60" s="441"/>
      <c r="M60" s="441"/>
      <c r="N60" s="441"/>
      <c r="O60" s="441"/>
      <c r="P60" s="441"/>
      <c r="Q60" s="441"/>
      <c r="R60" s="441"/>
      <c r="S60" s="441"/>
      <c r="T60" s="441"/>
      <c r="U60" s="441"/>
      <c r="V60" s="165"/>
      <c r="W60" s="441"/>
      <c r="X60" s="441"/>
      <c r="Y60" s="441"/>
    </row>
    <row r="61" spans="1:25">
      <c r="A61" s="1"/>
      <c r="B61" s="441"/>
      <c r="C61" s="448"/>
      <c r="D61" s="441"/>
      <c r="E61" s="1"/>
      <c r="F61" s="1"/>
      <c r="G61" s="441"/>
      <c r="H61" s="441"/>
      <c r="I61" s="441"/>
      <c r="J61" s="441"/>
      <c r="K61" s="441"/>
      <c r="L61" s="441"/>
      <c r="M61" s="441"/>
      <c r="N61" s="441"/>
      <c r="O61" s="441"/>
      <c r="P61" s="441"/>
      <c r="Q61" s="441"/>
      <c r="R61" s="441"/>
      <c r="S61" s="441"/>
      <c r="T61" s="441"/>
      <c r="U61" s="441"/>
      <c r="V61" s="165"/>
      <c r="W61" s="441"/>
      <c r="X61" s="441"/>
      <c r="Y61" s="441"/>
    </row>
    <row r="62" spans="1:25" ht="15" customHeight="1">
      <c r="A62" s="1"/>
      <c r="B62" s="441"/>
      <c r="C62" s="1698" t="s">
        <v>1568</v>
      </c>
      <c r="D62" s="1698"/>
      <c r="E62" s="1698"/>
      <c r="F62" s="1699">
        <v>1217580</v>
      </c>
      <c r="G62" s="441"/>
      <c r="H62" s="441"/>
      <c r="I62" s="441"/>
      <c r="J62" s="441"/>
      <c r="K62" s="441"/>
      <c r="L62" s="441"/>
      <c r="M62" s="441"/>
      <c r="N62" s="441"/>
      <c r="O62" s="441"/>
      <c r="P62" s="441"/>
      <c r="Q62" s="441"/>
      <c r="R62" s="441"/>
      <c r="S62" s="441"/>
      <c r="T62" s="441"/>
      <c r="U62" s="441"/>
      <c r="V62" s="165"/>
      <c r="W62" s="441"/>
      <c r="X62" s="441"/>
      <c r="Y62" s="441"/>
    </row>
    <row r="63" spans="1:25">
      <c r="A63" s="1"/>
      <c r="B63" s="441"/>
      <c r="C63" s="1698"/>
      <c r="D63" s="1698"/>
      <c r="E63" s="1698"/>
      <c r="F63" s="1699"/>
      <c r="G63" s="441"/>
      <c r="H63" s="441"/>
      <c r="I63" s="441"/>
      <c r="J63" s="441"/>
      <c r="K63" s="441"/>
      <c r="L63" s="441"/>
      <c r="M63" s="441"/>
      <c r="N63" s="441"/>
      <c r="O63" s="441"/>
      <c r="P63" s="441"/>
      <c r="Q63" s="441"/>
      <c r="R63" s="441"/>
      <c r="S63" s="441"/>
      <c r="T63" s="441"/>
      <c r="U63" s="441"/>
      <c r="V63" s="165"/>
      <c r="W63" s="441"/>
      <c r="X63" s="441"/>
      <c r="Y63" s="441"/>
    </row>
    <row r="64" spans="1:25">
      <c r="A64" s="1"/>
      <c r="B64" s="441"/>
      <c r="C64" s="1516" t="s">
        <v>1667</v>
      </c>
      <c r="D64" s="1517">
        <v>5</v>
      </c>
      <c r="E64" s="169" t="s">
        <v>1250</v>
      </c>
      <c r="F64" s="560"/>
      <c r="G64" s="441"/>
      <c r="H64" s="441"/>
      <c r="I64" s="441"/>
      <c r="J64" s="441"/>
      <c r="K64" s="441"/>
      <c r="L64" s="441"/>
      <c r="M64" s="441"/>
      <c r="N64" s="441"/>
      <c r="O64" s="441"/>
      <c r="P64" s="441"/>
      <c r="Q64" s="441"/>
      <c r="R64" s="441"/>
      <c r="S64" s="441"/>
      <c r="T64" s="441"/>
      <c r="U64" s="441"/>
      <c r="V64" s="165"/>
      <c r="W64" s="441"/>
      <c r="X64" s="441"/>
      <c r="Y64" s="441"/>
    </row>
    <row r="65" spans="1:25">
      <c r="A65" s="1"/>
      <c r="B65" s="441"/>
      <c r="C65" s="405" t="s">
        <v>1249</v>
      </c>
      <c r="D65" s="406">
        <v>1</v>
      </c>
      <c r="E65" s="169" t="s">
        <v>1251</v>
      </c>
      <c r="F65" s="560"/>
      <c r="G65" s="441"/>
      <c r="H65" s="441"/>
      <c r="I65" s="441"/>
      <c r="J65" s="441"/>
      <c r="K65" s="441"/>
      <c r="L65" s="441"/>
      <c r="M65" s="441"/>
      <c r="N65" s="441"/>
      <c r="O65" s="441"/>
      <c r="P65" s="441"/>
      <c r="Q65" s="441"/>
      <c r="R65" s="441"/>
      <c r="S65" s="441"/>
      <c r="T65" s="441"/>
      <c r="U65" s="441"/>
      <c r="V65" s="165"/>
      <c r="W65" s="441"/>
      <c r="X65" s="441"/>
      <c r="Y65" s="441"/>
    </row>
    <row r="66" spans="1:25">
      <c r="A66" s="1"/>
      <c r="B66" s="441"/>
      <c r="C66" s="448"/>
      <c r="D66" s="441"/>
      <c r="E66" s="441"/>
      <c r="F66" s="441"/>
      <c r="G66" s="441"/>
      <c r="H66" s="441"/>
      <c r="I66" s="441"/>
      <c r="J66" s="441"/>
      <c r="K66" s="441"/>
      <c r="L66" s="441"/>
      <c r="M66" s="441"/>
      <c r="N66" s="441"/>
      <c r="O66" s="441"/>
      <c r="P66" s="441"/>
      <c r="Q66" s="441"/>
      <c r="R66" s="441"/>
      <c r="S66" s="441"/>
      <c r="T66" s="441"/>
      <c r="U66" s="441"/>
      <c r="V66" s="165"/>
      <c r="W66" s="441"/>
      <c r="X66" s="441"/>
      <c r="Y66" s="441"/>
    </row>
    <row r="67" spans="1:25" ht="18.75" customHeight="1">
      <c r="A67" s="1"/>
      <c r="B67" s="441"/>
      <c r="C67" s="1694" t="s">
        <v>1570</v>
      </c>
      <c r="D67" s="1694"/>
      <c r="E67" s="1694"/>
      <c r="F67" s="1694"/>
      <c r="G67" s="441"/>
      <c r="H67" s="441"/>
      <c r="I67" s="441"/>
      <c r="J67" s="441"/>
      <c r="K67" s="441"/>
      <c r="L67" s="441"/>
      <c r="M67" s="441"/>
      <c r="N67" s="441"/>
      <c r="O67" s="441"/>
      <c r="P67" s="441"/>
      <c r="Q67" s="441"/>
      <c r="R67" s="441"/>
      <c r="S67" s="441"/>
      <c r="T67" s="441"/>
      <c r="U67" s="165"/>
      <c r="V67" s="441"/>
      <c r="W67" s="441"/>
      <c r="X67" s="441"/>
    </row>
    <row r="68" spans="1:25">
      <c r="A68" s="1"/>
      <c r="B68" s="441"/>
      <c r="C68" s="1523" t="s">
        <v>46</v>
      </c>
      <c r="D68" s="1514">
        <v>0</v>
      </c>
      <c r="E68" s="450"/>
      <c r="F68" s="450"/>
      <c r="G68" s="441"/>
      <c r="H68" s="441"/>
      <c r="I68" s="441"/>
      <c r="J68" s="441"/>
      <c r="K68" s="441"/>
      <c r="L68" s="441"/>
      <c r="M68" s="441"/>
      <c r="N68" s="441"/>
      <c r="O68" s="441"/>
      <c r="P68" s="441"/>
      <c r="Q68" s="441"/>
      <c r="R68" s="441"/>
      <c r="S68" s="441"/>
      <c r="T68" s="441"/>
      <c r="U68" s="441"/>
      <c r="V68" s="165"/>
      <c r="W68" s="441"/>
      <c r="X68" s="441"/>
      <c r="Y68" s="441"/>
    </row>
    <row r="69" spans="1:25">
      <c r="A69" s="1"/>
      <c r="B69" s="441"/>
      <c r="C69" s="1523" t="s">
        <v>277</v>
      </c>
      <c r="D69" s="1514">
        <v>0</v>
      </c>
      <c r="E69" s="450"/>
      <c r="F69" s="450"/>
      <c r="G69" s="441"/>
      <c r="H69" s="441"/>
      <c r="I69" s="441"/>
      <c r="J69" s="441"/>
      <c r="K69" s="441"/>
      <c r="L69" s="441"/>
      <c r="M69" s="441"/>
      <c r="N69" s="441"/>
      <c r="O69" s="441"/>
      <c r="P69" s="441"/>
      <c r="Q69" s="441"/>
      <c r="R69" s="441"/>
      <c r="S69" s="441"/>
      <c r="T69" s="441"/>
      <c r="U69" s="441"/>
      <c r="V69" s="165"/>
      <c r="W69" s="441"/>
      <c r="X69" s="441"/>
      <c r="Y69" s="441"/>
    </row>
    <row r="70" spans="1:25">
      <c r="A70" s="1"/>
      <c r="B70" s="441"/>
      <c r="C70" s="1523" t="s">
        <v>278</v>
      </c>
      <c r="D70" s="1514">
        <v>0</v>
      </c>
      <c r="E70" s="450"/>
      <c r="F70" s="450"/>
      <c r="G70" s="441"/>
      <c r="H70" s="441"/>
      <c r="I70" s="441"/>
      <c r="J70" s="441"/>
      <c r="K70" s="441"/>
      <c r="L70" s="441"/>
      <c r="M70" s="441"/>
      <c r="N70" s="441"/>
      <c r="O70" s="441"/>
      <c r="P70" s="441"/>
      <c r="Q70" s="441"/>
      <c r="R70" s="441"/>
      <c r="S70" s="441"/>
      <c r="T70" s="441"/>
      <c r="U70" s="441"/>
      <c r="V70" s="165"/>
      <c r="W70" s="441"/>
      <c r="X70" s="441"/>
      <c r="Y70" s="441"/>
    </row>
    <row r="71" spans="1:25">
      <c r="A71" s="1"/>
      <c r="B71" s="441"/>
      <c r="C71" s="1523" t="s">
        <v>280</v>
      </c>
      <c r="D71" s="1514">
        <v>0</v>
      </c>
      <c r="E71" s="450"/>
      <c r="F71" s="450"/>
      <c r="G71" s="441"/>
      <c r="H71" s="441"/>
      <c r="I71" s="441"/>
      <c r="J71" s="441"/>
      <c r="K71" s="441"/>
      <c r="L71" s="441"/>
      <c r="M71" s="441"/>
      <c r="N71" s="441"/>
      <c r="O71" s="441"/>
      <c r="P71" s="441"/>
      <c r="Q71" s="441"/>
      <c r="R71" s="441"/>
      <c r="S71" s="441"/>
      <c r="T71" s="441"/>
      <c r="U71" s="441"/>
      <c r="V71" s="165"/>
      <c r="W71" s="441"/>
      <c r="X71" s="441"/>
      <c r="Y71" s="441"/>
    </row>
    <row r="72" spans="1:25">
      <c r="A72" s="1"/>
      <c r="B72" s="441"/>
      <c r="C72" s="1523" t="s">
        <v>283</v>
      </c>
      <c r="D72" s="1514">
        <v>0</v>
      </c>
      <c r="E72" s="450"/>
      <c r="F72" s="450"/>
      <c r="G72" s="441"/>
      <c r="H72" s="441"/>
      <c r="I72" s="441"/>
      <c r="J72" s="441"/>
      <c r="K72" s="441"/>
      <c r="L72" s="441"/>
      <c r="M72" s="441"/>
      <c r="N72" s="441"/>
      <c r="O72" s="441"/>
      <c r="P72" s="441"/>
      <c r="Q72" s="441"/>
      <c r="R72" s="441"/>
      <c r="S72" s="441"/>
      <c r="T72" s="441"/>
      <c r="U72" s="441"/>
      <c r="V72" s="165"/>
      <c r="W72" s="441"/>
      <c r="X72" s="441"/>
      <c r="Y72" s="441"/>
    </row>
    <row r="73" spans="1:25">
      <c r="A73" s="1"/>
      <c r="B73" s="441"/>
      <c r="C73" s="1523" t="s">
        <v>1563</v>
      </c>
      <c r="D73" s="1514">
        <v>0</v>
      </c>
      <c r="E73" s="450"/>
      <c r="F73" s="450"/>
      <c r="G73" s="441"/>
      <c r="H73" s="441"/>
      <c r="I73" s="441"/>
      <c r="J73" s="441"/>
      <c r="K73" s="441"/>
      <c r="L73" s="441"/>
      <c r="M73" s="441"/>
      <c r="N73" s="441"/>
      <c r="O73" s="441"/>
      <c r="P73" s="441"/>
      <c r="Q73" s="441"/>
      <c r="R73" s="441"/>
      <c r="S73" s="441"/>
      <c r="T73" s="441"/>
      <c r="U73" s="441"/>
      <c r="V73" s="165"/>
      <c r="W73" s="441"/>
      <c r="X73" s="441"/>
      <c r="Y73" s="441"/>
    </row>
    <row r="74" spans="1:25">
      <c r="A74" s="1"/>
      <c r="B74" s="441"/>
      <c r="C74" s="1542"/>
      <c r="D74" s="1514"/>
      <c r="E74" s="450"/>
      <c r="F74" s="450"/>
      <c r="G74" s="441"/>
      <c r="H74" s="441"/>
      <c r="I74" s="441"/>
      <c r="J74" s="441"/>
      <c r="K74" s="441"/>
      <c r="L74" s="441"/>
      <c r="M74" s="441"/>
      <c r="N74" s="441"/>
      <c r="O74" s="441"/>
      <c r="P74" s="441"/>
      <c r="Q74" s="441"/>
      <c r="R74" s="441"/>
      <c r="S74" s="441"/>
      <c r="T74" s="441"/>
      <c r="U74" s="441"/>
      <c r="V74" s="165"/>
      <c r="W74" s="441"/>
      <c r="X74" s="441"/>
      <c r="Y74" s="441"/>
    </row>
    <row r="75" spans="1:25" ht="18.75">
      <c r="A75" s="1"/>
      <c r="B75" s="441"/>
      <c r="C75" s="1528" t="s">
        <v>1569</v>
      </c>
      <c r="D75" s="1533" t="s">
        <v>1525</v>
      </c>
      <c r="E75" s="1528"/>
      <c r="F75" s="1533" t="s">
        <v>1534</v>
      </c>
      <c r="H75" s="441"/>
      <c r="I75" s="441"/>
      <c r="J75" s="441"/>
      <c r="K75" s="441"/>
      <c r="L75" s="441"/>
      <c r="M75" s="441"/>
      <c r="N75" s="441"/>
      <c r="O75" s="441"/>
      <c r="P75" s="441"/>
      <c r="Q75" s="441"/>
      <c r="R75" s="441"/>
      <c r="S75" s="441"/>
      <c r="T75" s="441"/>
      <c r="U75" s="441"/>
      <c r="V75" s="165"/>
      <c r="W75" s="441"/>
      <c r="X75" s="441"/>
      <c r="Y75" s="441"/>
    </row>
    <row r="76" spans="1:25">
      <c r="A76" s="1"/>
      <c r="B76" s="441"/>
      <c r="C76" s="1543" t="s">
        <v>37</v>
      </c>
      <c r="D76" s="1545">
        <v>0</v>
      </c>
      <c r="E76" s="1544"/>
      <c r="F76" s="1548">
        <v>0</v>
      </c>
      <c r="G76" s="441"/>
      <c r="H76" s="441"/>
      <c r="I76" s="441"/>
      <c r="J76" s="441"/>
      <c r="K76" s="441"/>
      <c r="L76" s="441"/>
      <c r="M76" s="441"/>
      <c r="N76" s="441"/>
      <c r="O76" s="441"/>
      <c r="P76" s="441"/>
      <c r="Q76" s="441"/>
      <c r="R76" s="441"/>
      <c r="S76" s="441"/>
      <c r="T76" s="441"/>
      <c r="U76" s="441"/>
      <c r="V76" s="165"/>
      <c r="W76" s="441"/>
      <c r="X76" s="441"/>
      <c r="Y76" s="441"/>
    </row>
    <row r="77" spans="1:25">
      <c r="A77" s="1"/>
      <c r="B77" s="441"/>
      <c r="C77" s="1524" t="s">
        <v>284</v>
      </c>
      <c r="D77" s="1546">
        <v>0</v>
      </c>
      <c r="E77" s="1541"/>
      <c r="F77" s="1549">
        <v>0</v>
      </c>
      <c r="G77" s="441"/>
      <c r="H77" s="441"/>
      <c r="I77" s="441"/>
      <c r="J77" s="441"/>
      <c r="K77" s="441"/>
      <c r="L77" s="441"/>
      <c r="M77" s="441"/>
      <c r="N77" s="441"/>
      <c r="O77" s="441"/>
      <c r="P77" s="441"/>
      <c r="Q77" s="441"/>
      <c r="R77" s="441"/>
      <c r="S77" s="441"/>
      <c r="T77" s="441"/>
      <c r="U77" s="441"/>
      <c r="V77" s="165"/>
      <c r="W77" s="441"/>
      <c r="X77" s="441"/>
      <c r="Y77" s="441"/>
    </row>
    <row r="78" spans="1:25">
      <c r="A78" s="1"/>
      <c r="B78" s="441"/>
      <c r="C78" s="1524" t="s">
        <v>285</v>
      </c>
      <c r="D78" s="1546">
        <v>0</v>
      </c>
      <c r="E78" s="1541"/>
      <c r="F78" s="1549">
        <v>0</v>
      </c>
      <c r="G78" s="441"/>
      <c r="H78" s="441"/>
      <c r="I78" s="441"/>
      <c r="J78" s="441"/>
      <c r="K78" s="441"/>
      <c r="L78" s="441"/>
      <c r="M78" s="441"/>
      <c r="N78" s="441"/>
      <c r="O78" s="441"/>
      <c r="P78" s="441"/>
      <c r="Q78" s="441"/>
      <c r="R78" s="441"/>
      <c r="S78" s="441"/>
      <c r="T78" s="441"/>
      <c r="U78" s="441"/>
      <c r="V78" s="164"/>
      <c r="W78" s="441"/>
      <c r="X78" s="441"/>
      <c r="Y78" s="441"/>
    </row>
    <row r="79" spans="1:25">
      <c r="A79" s="1"/>
      <c r="B79" s="441"/>
      <c r="C79" s="1524" t="s">
        <v>133</v>
      </c>
      <c r="D79" s="1546">
        <v>0</v>
      </c>
      <c r="E79" s="1541"/>
      <c r="F79" s="1549">
        <v>0</v>
      </c>
      <c r="G79" s="441"/>
      <c r="H79" s="441"/>
      <c r="I79" s="441"/>
      <c r="J79" s="441"/>
      <c r="K79" s="441"/>
      <c r="L79" s="441"/>
      <c r="M79" s="441"/>
      <c r="N79" s="441"/>
      <c r="O79" s="441"/>
      <c r="P79" s="441"/>
      <c r="Q79" s="441"/>
      <c r="R79" s="441"/>
      <c r="S79" s="441"/>
      <c r="T79" s="441"/>
      <c r="U79" s="441"/>
      <c r="V79" s="164"/>
      <c r="W79" s="441"/>
      <c r="X79" s="441"/>
      <c r="Y79" s="441"/>
    </row>
    <row r="80" spans="1:25">
      <c r="A80" s="1"/>
      <c r="B80" s="441"/>
      <c r="C80" s="1524" t="s">
        <v>163</v>
      </c>
      <c r="D80" s="1547">
        <v>0</v>
      </c>
      <c r="E80" s="1541"/>
      <c r="F80" s="1549">
        <v>0</v>
      </c>
      <c r="G80" s="441"/>
      <c r="H80" s="441"/>
      <c r="I80" s="441"/>
      <c r="J80" s="441"/>
      <c r="K80" s="441"/>
      <c r="L80" s="441"/>
      <c r="M80" s="441"/>
      <c r="N80" s="441"/>
      <c r="O80" s="441"/>
      <c r="P80" s="441"/>
      <c r="Q80" s="441"/>
      <c r="R80" s="441"/>
      <c r="S80" s="441"/>
      <c r="T80" s="441"/>
      <c r="U80" s="441"/>
      <c r="V80" s="164"/>
      <c r="W80" s="441"/>
      <c r="X80" s="441"/>
      <c r="Y80" s="441"/>
    </row>
    <row r="81" spans="1:25">
      <c r="A81" s="1"/>
      <c r="B81" s="441"/>
      <c r="C81" s="1524" t="s">
        <v>1031</v>
      </c>
      <c r="D81" s="1547">
        <v>0</v>
      </c>
      <c r="E81" s="1541"/>
      <c r="F81" s="1549">
        <v>0</v>
      </c>
      <c r="G81" s="441"/>
      <c r="H81" s="441"/>
      <c r="I81" s="441"/>
      <c r="J81" s="441"/>
      <c r="K81" s="441"/>
      <c r="L81" s="441"/>
      <c r="M81" s="441"/>
      <c r="N81" s="441"/>
      <c r="O81" s="441"/>
      <c r="P81" s="441"/>
      <c r="Q81" s="441"/>
      <c r="R81" s="441"/>
      <c r="S81" s="441"/>
      <c r="T81" s="441"/>
      <c r="U81" s="441"/>
      <c r="V81" s="164"/>
      <c r="W81" s="441"/>
      <c r="X81" s="441"/>
      <c r="Y81" s="441"/>
    </row>
    <row r="82" spans="1:25">
      <c r="A82" s="1"/>
      <c r="B82" s="441"/>
      <c r="C82" s="441"/>
      <c r="D82" s="441"/>
      <c r="E82" s="441"/>
      <c r="F82" s="441"/>
      <c r="G82" s="441"/>
      <c r="H82" s="441"/>
      <c r="I82" s="441"/>
      <c r="J82" s="441"/>
      <c r="K82" s="441"/>
      <c r="L82" s="441"/>
      <c r="M82" s="441"/>
      <c r="N82" s="441"/>
      <c r="O82" s="441"/>
      <c r="P82" s="441"/>
      <c r="Q82" s="441"/>
      <c r="R82" s="441"/>
      <c r="S82" s="441"/>
      <c r="T82" s="441"/>
      <c r="U82" s="441"/>
      <c r="V82" s="164"/>
      <c r="W82" s="441"/>
      <c r="X82" s="441"/>
      <c r="Y82" s="441"/>
    </row>
    <row r="83" spans="1:25">
      <c r="C83" s="441"/>
      <c r="D83" s="441"/>
      <c r="E83" s="441"/>
      <c r="F83" s="441"/>
    </row>
  </sheetData>
  <sortState ref="A44:ES51">
    <sortCondition ref="D44:D51"/>
    <sortCondition ref="B44:B51"/>
  </sortState>
  <mergeCells count="26">
    <mergeCell ref="C67:F67"/>
    <mergeCell ref="B9:C9"/>
    <mergeCell ref="B23:C23"/>
    <mergeCell ref="C51:G51"/>
    <mergeCell ref="C62:E63"/>
    <mergeCell ref="F62:F63"/>
    <mergeCell ref="E47:G47"/>
    <mergeCell ref="E48:G48"/>
    <mergeCell ref="E49:G49"/>
    <mergeCell ref="E50:G50"/>
    <mergeCell ref="C42:G42"/>
    <mergeCell ref="C46:D46"/>
    <mergeCell ref="C47:D47"/>
    <mergeCell ref="C48:D48"/>
    <mergeCell ref="C49:D49"/>
    <mergeCell ref="C50:D50"/>
    <mergeCell ref="A7:K7"/>
    <mergeCell ref="L7:X7"/>
    <mergeCell ref="C43:D43"/>
    <mergeCell ref="C44:D44"/>
    <mergeCell ref="C45:D45"/>
    <mergeCell ref="C52:G52"/>
    <mergeCell ref="E43:G43"/>
    <mergeCell ref="E44:G44"/>
    <mergeCell ref="E45:G45"/>
    <mergeCell ref="E46:G46"/>
  </mergeCells>
  <dataValidations count="4">
    <dataValidation type="list" allowBlank="1" sqref="O29 O26">
      <formula1>"Vehicle fuel,Pipeline,Both,Other,Unknown"</formula1>
    </dataValidation>
    <dataValidation type="list" allowBlank="1" sqref="I19">
      <formula1>"Pipeline,Vehicle Fuel,Both,Unknown,Other"</formula1>
    </dataValidation>
    <dataValidation allowBlank="1" sqref="P12:P13"/>
    <dataValidation type="list" allowBlank="1" showInputMessage="1" showErrorMessage="1" sqref="H41">
      <formula1>#REF!</formula1>
    </dataValidation>
  </dataValidations>
  <hyperlinks>
    <hyperlink ref="V14" r:id="rId1" display="http://www.gjcity.org/residents/persigo-wastewater-treatment-plant/"/>
    <hyperlink ref="V36" r:id="rId2"/>
    <hyperlink ref="V21" r:id="rId3"/>
    <hyperlink ref="V22" r:id="rId4"/>
    <hyperlink ref="V34" r:id="rId5"/>
    <hyperlink ref="V37" r:id="rId6"/>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'List Values'!$A$9:$A$17</xm:f>
          </x14:formula1>
          <xm:sqref>A10:A22 A32:A39 A24:A30</xm:sqref>
        </x14:dataValidation>
        <x14:dataValidation type="list" allowBlank="1" showInputMessage="1" showErrorMessage="1">
          <x14:formula1>
            <xm:f>'List Values'!$A$2:$A$6</xm:f>
          </x14:formula1>
          <xm:sqref>N10:N22 N24:N30 N32:N39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abSelected="1" zoomScale="85" zoomScaleNormal="85" workbookViewId="0">
      <selection activeCell="L9" sqref="L9"/>
    </sheetView>
  </sheetViews>
  <sheetFormatPr defaultRowHeight="15"/>
  <cols>
    <col min="1" max="1" width="42.140625" customWidth="1"/>
    <col min="2" max="2" width="15.7109375" customWidth="1"/>
    <col min="3" max="3" width="16.28515625" customWidth="1"/>
    <col min="4" max="4" width="15.85546875" customWidth="1"/>
    <col min="5" max="5" width="17.85546875" customWidth="1"/>
    <col min="6" max="6" width="14.7109375" customWidth="1"/>
    <col min="7" max="7" width="21.7109375" customWidth="1"/>
    <col min="8" max="8" width="9.42578125" customWidth="1"/>
    <col min="9" max="9" width="17.28515625" customWidth="1"/>
    <col min="10" max="10" width="16.5703125" customWidth="1"/>
    <col min="11" max="11" width="20.7109375" customWidth="1"/>
    <col min="12" max="12" width="15.7109375" customWidth="1"/>
    <col min="13" max="14" width="19.28515625" customWidth="1"/>
  </cols>
  <sheetData>
    <row r="1" spans="1:14">
      <c r="A1" s="451"/>
      <c r="B1" s="451"/>
      <c r="C1" s="451"/>
      <c r="D1" s="451"/>
      <c r="E1" s="451"/>
      <c r="F1" s="451"/>
      <c r="G1" s="1"/>
      <c r="H1" s="1"/>
      <c r="I1" s="1"/>
      <c r="J1" s="1"/>
      <c r="K1" s="1"/>
      <c r="L1" s="1"/>
      <c r="M1" s="1"/>
    </row>
    <row r="2" spans="1:14" ht="15.75">
      <c r="A2" s="1292" t="s">
        <v>1571</v>
      </c>
      <c r="B2" s="1293"/>
      <c r="C2" s="1293"/>
      <c r="D2" s="1294"/>
      <c r="E2" s="451"/>
      <c r="F2" s="451"/>
      <c r="G2" s="451"/>
      <c r="H2" s="451"/>
      <c r="I2" s="451"/>
      <c r="J2" s="451"/>
      <c r="K2" s="451"/>
      <c r="L2" s="451"/>
      <c r="M2" s="451"/>
    </row>
    <row r="3" spans="1:14" ht="47.25" customHeight="1">
      <c r="A3" s="1290" t="s">
        <v>1727</v>
      </c>
      <c r="B3" s="1291" t="s">
        <v>46</v>
      </c>
      <c r="C3" s="1291" t="s">
        <v>1167</v>
      </c>
      <c r="D3" s="1618" t="s">
        <v>282</v>
      </c>
      <c r="E3" s="1622" t="s">
        <v>1030</v>
      </c>
      <c r="F3" s="1620" t="s">
        <v>1722</v>
      </c>
      <c r="G3" s="1575" t="s">
        <v>1580</v>
      </c>
      <c r="H3" s="1576" t="s">
        <v>1253</v>
      </c>
      <c r="I3" s="451"/>
      <c r="J3" s="1564"/>
      <c r="K3" s="1562" t="s">
        <v>1255</v>
      </c>
      <c r="L3" s="561" t="s">
        <v>1254</v>
      </c>
      <c r="M3" s="1584" t="s">
        <v>1253</v>
      </c>
      <c r="N3" s="561" t="s">
        <v>1404</v>
      </c>
    </row>
    <row r="4" spans="1:14" ht="15.75">
      <c r="A4" s="454" t="s">
        <v>1032</v>
      </c>
      <c r="B4" s="1556">
        <f>Landfills!D98</f>
        <v>58</v>
      </c>
      <c r="C4" s="455">
        <f>Landfills!D99</f>
        <v>8</v>
      </c>
      <c r="D4" s="455">
        <f>Landfills!D100</f>
        <v>14</v>
      </c>
      <c r="E4" s="1621">
        <f>K4</f>
        <v>9</v>
      </c>
      <c r="F4" s="456">
        <f>SUM(B4:E4)</f>
        <v>89</v>
      </c>
      <c r="G4" s="1567">
        <v>59</v>
      </c>
      <c r="H4" s="1568">
        <f t="shared" ref="H4:H9" si="0">(F4-G4)/G4</f>
        <v>0.50847457627118642</v>
      </c>
      <c r="I4" s="770"/>
      <c r="J4" s="1563" t="s">
        <v>1032</v>
      </c>
      <c r="K4" s="1556">
        <f>Landfills!D101+Landfills!D102+Landfills!D103+Landfills!D104</f>
        <v>9</v>
      </c>
      <c r="L4" s="1556">
        <v>9</v>
      </c>
      <c r="M4" s="1561">
        <f t="shared" ref="M4:M9" si="1">(K4-L4)/L4</f>
        <v>0</v>
      </c>
      <c r="N4" s="1556">
        <f>Landfills!D102+Landfills!D104</f>
        <v>2</v>
      </c>
    </row>
    <row r="5" spans="1:14" ht="15.75">
      <c r="A5" s="452" t="s">
        <v>1033</v>
      </c>
      <c r="B5" s="1556">
        <f>'Farms and Ag'!E70</f>
        <v>11</v>
      </c>
      <c r="C5" s="455">
        <f>'Farms and Ag'!E71</f>
        <v>21</v>
      </c>
      <c r="D5" s="455">
        <f>'Farms and Ag'!E72</f>
        <v>63</v>
      </c>
      <c r="E5" s="455">
        <f t="shared" ref="E5:E9" si="2">K5</f>
        <v>12</v>
      </c>
      <c r="F5" s="456">
        <f t="shared" ref="F5:F9" si="3">SUM(B5:E5)</f>
        <v>107</v>
      </c>
      <c r="G5" s="1567">
        <v>28</v>
      </c>
      <c r="H5" s="1568">
        <f t="shared" si="0"/>
        <v>2.8214285714285716</v>
      </c>
      <c r="I5" s="770"/>
      <c r="J5" s="772" t="s">
        <v>1033</v>
      </c>
      <c r="K5" s="1556">
        <f>'Farms and Ag'!E73+'Farms and Ag'!E74+'Farms and Ag'!E75+'Farms and Ag'!E76</f>
        <v>12</v>
      </c>
      <c r="L5" s="1556">
        <v>11</v>
      </c>
      <c r="M5" s="1561">
        <f t="shared" si="1"/>
        <v>9.0909090909090912E-2</v>
      </c>
      <c r="N5" s="1556">
        <f>'Farms and Ag'!E74+'Farms and Ag'!E76</f>
        <v>5</v>
      </c>
    </row>
    <row r="6" spans="1:14" ht="15.75">
      <c r="A6" s="454" t="s">
        <v>1034</v>
      </c>
      <c r="B6" s="1556">
        <f>'Food Waste'!$E44</f>
        <v>7</v>
      </c>
      <c r="C6" s="455">
        <f>'Food Waste'!$E45</f>
        <v>2</v>
      </c>
      <c r="D6" s="455">
        <f>'Food Waste'!$E46</f>
        <v>5</v>
      </c>
      <c r="E6" s="455">
        <f t="shared" si="2"/>
        <v>10</v>
      </c>
      <c r="F6" s="456">
        <f t="shared" si="3"/>
        <v>24</v>
      </c>
      <c r="G6" s="1567">
        <v>12</v>
      </c>
      <c r="H6" s="1568">
        <f t="shared" si="0"/>
        <v>1</v>
      </c>
      <c r="I6" s="770"/>
      <c r="J6" s="771" t="s">
        <v>1034</v>
      </c>
      <c r="K6" s="1556">
        <f>'Food Waste'!$E47+'Food Waste'!$E48+'Food Waste'!$E49+'Food Waste'!$E50</f>
        <v>10</v>
      </c>
      <c r="L6" s="1556">
        <v>4</v>
      </c>
      <c r="M6" s="1561">
        <f t="shared" si="1"/>
        <v>1.5</v>
      </c>
      <c r="N6" s="1556">
        <f>'Food Waste'!$E48+'Food Waste'!$E50</f>
        <v>5</v>
      </c>
    </row>
    <row r="7" spans="1:14" ht="15.75">
      <c r="A7" s="452" t="s">
        <v>1035</v>
      </c>
      <c r="B7" s="1556">
        <f>WWT!$E43</f>
        <v>13</v>
      </c>
      <c r="C7" s="455">
        <f>WWT!D44</f>
        <v>0</v>
      </c>
      <c r="D7" s="455">
        <f>WWT!$D45</f>
        <v>0</v>
      </c>
      <c r="E7" s="455">
        <f t="shared" si="2"/>
        <v>7</v>
      </c>
      <c r="F7" s="456">
        <f t="shared" si="3"/>
        <v>20</v>
      </c>
      <c r="G7" s="1567">
        <v>15</v>
      </c>
      <c r="H7" s="1568">
        <f t="shared" si="0"/>
        <v>0.33333333333333331</v>
      </c>
      <c r="I7" s="770"/>
      <c r="J7" s="772" t="s">
        <v>1581</v>
      </c>
      <c r="K7" s="1556">
        <f>WWT!$E46+WWT!$E47+WWT!$E48+WWT!$E49</f>
        <v>7</v>
      </c>
      <c r="L7" s="1556">
        <v>8</v>
      </c>
      <c r="M7" s="1561">
        <f t="shared" si="1"/>
        <v>-0.125</v>
      </c>
      <c r="N7" s="1556">
        <f>WWT!$E47+WWT!$E49</f>
        <v>3</v>
      </c>
    </row>
    <row r="8" spans="1:14" ht="15.75">
      <c r="A8" s="454" t="s">
        <v>163</v>
      </c>
      <c r="B8" s="1556">
        <v>0</v>
      </c>
      <c r="C8" s="455">
        <v>0</v>
      </c>
      <c r="D8" s="455">
        <v>0</v>
      </c>
      <c r="E8" s="455">
        <f t="shared" si="2"/>
        <v>0</v>
      </c>
      <c r="F8" s="456">
        <f t="shared" si="3"/>
        <v>0</v>
      </c>
      <c r="G8" s="1567">
        <v>0</v>
      </c>
      <c r="H8" s="1568">
        <v>0</v>
      </c>
      <c r="I8" s="770"/>
      <c r="J8" s="771" t="s">
        <v>163</v>
      </c>
      <c r="K8" s="1556">
        <v>0</v>
      </c>
      <c r="L8" s="1556">
        <v>0</v>
      </c>
      <c r="M8" s="1561">
        <v>0</v>
      </c>
      <c r="N8" s="1556">
        <v>0</v>
      </c>
    </row>
    <row r="9" spans="1:14" ht="15.75">
      <c r="A9" s="491" t="s">
        <v>1573</v>
      </c>
      <c r="B9" s="1560">
        <f>SUM(B4:B8)</f>
        <v>89</v>
      </c>
      <c r="C9" s="492">
        <f>SUM(C4:C8)</f>
        <v>31</v>
      </c>
      <c r="D9" s="492">
        <f>SUM(D4:D8)</f>
        <v>82</v>
      </c>
      <c r="E9" s="492">
        <f t="shared" si="2"/>
        <v>38</v>
      </c>
      <c r="F9" s="492">
        <f t="shared" si="3"/>
        <v>240</v>
      </c>
      <c r="G9" s="1567">
        <f>SUM(G4:G8)</f>
        <v>114</v>
      </c>
      <c r="H9" s="1568">
        <f t="shared" si="0"/>
        <v>1.1052631578947369</v>
      </c>
      <c r="I9" s="770"/>
      <c r="J9" s="773" t="s">
        <v>1031</v>
      </c>
      <c r="K9" s="1556">
        <f>SUM(K4:K8)</f>
        <v>38</v>
      </c>
      <c r="L9" s="1556">
        <f>SUM(L4:L8)</f>
        <v>32</v>
      </c>
      <c r="M9" s="1561">
        <f t="shared" si="1"/>
        <v>0.1875</v>
      </c>
      <c r="N9" s="1556">
        <f>SUM(N4:N8)</f>
        <v>15</v>
      </c>
    </row>
    <row r="10" spans="1:14" s="832" customFormat="1">
      <c r="A10" s="1571" t="s">
        <v>1575</v>
      </c>
      <c r="B10" s="1565">
        <v>61</v>
      </c>
      <c r="C10" s="1572">
        <v>25</v>
      </c>
      <c r="D10" s="1572">
        <v>26</v>
      </c>
      <c r="E10" s="1572">
        <f>L9</f>
        <v>32</v>
      </c>
      <c r="F10" s="1624">
        <f>SUM(B10:E10)</f>
        <v>144</v>
      </c>
      <c r="G10" s="1000"/>
      <c r="H10" s="770"/>
      <c r="I10" s="770"/>
      <c r="J10" s="451"/>
      <c r="K10" s="451"/>
      <c r="L10" s="451"/>
      <c r="M10" s="451"/>
      <c r="N10" s="451"/>
    </row>
    <row r="11" spans="1:14" s="832" customFormat="1">
      <c r="A11" s="1566" t="s">
        <v>1578</v>
      </c>
      <c r="B11" s="1573">
        <f>(B9-B10)/B10</f>
        <v>0.45901639344262296</v>
      </c>
      <c r="C11" s="1574">
        <f t="shared" ref="C11:D11" si="4">(C9-C10)/C10</f>
        <v>0.24</v>
      </c>
      <c r="D11" s="1623">
        <f t="shared" si="4"/>
        <v>2.1538461538461537</v>
      </c>
      <c r="E11" s="1619"/>
      <c r="F11" s="1000"/>
      <c r="G11" s="1000"/>
      <c r="H11" s="770"/>
      <c r="I11" s="770"/>
      <c r="J11" s="451"/>
      <c r="K11" s="451"/>
      <c r="L11" s="451"/>
      <c r="M11" s="451"/>
      <c r="N11" s="451"/>
    </row>
    <row r="12" spans="1:14" s="832" customFormat="1" ht="15.75">
      <c r="A12" s="490"/>
      <c r="B12" s="1557"/>
      <c r="C12" s="544"/>
      <c r="D12" s="544"/>
      <c r="E12" s="544"/>
      <c r="F12" s="770"/>
      <c r="G12" s="770"/>
      <c r="H12" s="770"/>
      <c r="I12" s="451"/>
      <c r="J12" s="451"/>
      <c r="K12" s="451"/>
      <c r="L12" s="451"/>
      <c r="M12" s="451"/>
    </row>
    <row r="13" spans="1:14" s="832" customFormat="1" ht="17.25" customHeight="1">
      <c r="A13" s="1555" t="s">
        <v>1579</v>
      </c>
      <c r="B13" s="1570">
        <f>SUM('Farms and Ag'!$E$78,'Food Waste'!$E$52,Landfills!$D$116,WWT!$D$60)</f>
        <v>79</v>
      </c>
      <c r="C13" s="451"/>
      <c r="D13" s="451"/>
      <c r="E13" s="451"/>
      <c r="F13" s="451"/>
      <c r="G13" s="451"/>
      <c r="H13" s="770"/>
      <c r="I13" s="451"/>
      <c r="J13" s="451"/>
      <c r="K13" s="451"/>
      <c r="L13" s="451"/>
      <c r="M13" s="451"/>
    </row>
    <row r="14" spans="1:14" ht="15.75">
      <c r="A14" s="490"/>
      <c r="B14" s="1557"/>
      <c r="C14" s="451"/>
      <c r="D14" s="451"/>
      <c r="E14" s="451"/>
      <c r="F14" s="1000"/>
      <c r="G14" s="770"/>
      <c r="H14" s="770"/>
      <c r="I14" s="451"/>
      <c r="J14" s="451"/>
      <c r="K14" s="451"/>
      <c r="L14" s="451"/>
      <c r="M14" s="451"/>
    </row>
    <row r="15" spans="1:14" ht="15.75">
      <c r="A15" s="1289" t="s">
        <v>1728</v>
      </c>
      <c r="B15" s="1558"/>
      <c r="C15" s="451"/>
      <c r="D15" s="451"/>
      <c r="E15" s="451"/>
      <c r="F15" s="1000"/>
      <c r="G15" s="770"/>
      <c r="H15" s="770"/>
      <c r="I15" s="451"/>
      <c r="J15" s="451"/>
      <c r="K15" s="451"/>
      <c r="L15" s="451"/>
      <c r="M15" s="451"/>
    </row>
    <row r="16" spans="1:14" s="832" customFormat="1" ht="15.75">
      <c r="A16" s="454" t="s">
        <v>1032</v>
      </c>
      <c r="B16" s="1556">
        <f>Landfills!D115</f>
        <v>58</v>
      </c>
      <c r="C16" s="451"/>
      <c r="D16" s="1000"/>
      <c r="E16" s="451"/>
      <c r="F16" s="1000"/>
      <c r="G16" s="770"/>
      <c r="H16" s="770"/>
      <c r="I16" s="451"/>
      <c r="J16" s="451"/>
      <c r="K16" s="451"/>
      <c r="L16" s="451"/>
      <c r="M16" s="451"/>
    </row>
    <row r="17" spans="1:13" s="832" customFormat="1" ht="15.75">
      <c r="A17" s="452" t="s">
        <v>1033</v>
      </c>
      <c r="B17" s="1556">
        <f>'Farms and Ag'!E88</f>
        <v>11</v>
      </c>
      <c r="C17" s="451"/>
      <c r="D17" s="1000"/>
      <c r="E17" s="451"/>
      <c r="F17" s="1000"/>
      <c r="G17" s="770"/>
      <c r="H17" s="770"/>
      <c r="I17" s="451"/>
      <c r="J17" s="451"/>
      <c r="K17" s="451"/>
      <c r="L17" s="451"/>
      <c r="M17" s="451"/>
    </row>
    <row r="18" spans="1:13" s="832" customFormat="1" ht="15.75">
      <c r="A18" s="454" t="s">
        <v>1034</v>
      </c>
      <c r="B18" s="1556">
        <f>'Food Waste'!E54</f>
        <v>0</v>
      </c>
      <c r="C18" s="451"/>
      <c r="D18" s="1000"/>
      <c r="E18" s="451"/>
      <c r="F18" s="1000"/>
      <c r="G18" s="770"/>
      <c r="H18" s="770"/>
      <c r="I18" s="451"/>
      <c r="J18" s="451"/>
      <c r="K18" s="451"/>
      <c r="L18" s="451"/>
      <c r="M18" s="451"/>
    </row>
    <row r="19" spans="1:13" s="832" customFormat="1" ht="15.75">
      <c r="A19" s="452" t="s">
        <v>1035</v>
      </c>
      <c r="B19" s="1556">
        <f>WWT!D59</f>
        <v>13</v>
      </c>
      <c r="C19" s="451"/>
      <c r="D19" s="1000"/>
      <c r="E19" s="451"/>
      <c r="F19" s="1000"/>
      <c r="G19" s="770"/>
      <c r="H19" s="770"/>
      <c r="I19" s="451"/>
      <c r="J19" s="451"/>
      <c r="K19" s="451"/>
      <c r="L19" s="451"/>
      <c r="M19" s="451"/>
    </row>
    <row r="20" spans="1:13" s="832" customFormat="1" ht="15.75">
      <c r="A20" s="454" t="s">
        <v>163</v>
      </c>
      <c r="B20" s="1556">
        <v>0</v>
      </c>
      <c r="C20" s="451"/>
      <c r="D20" s="1000"/>
      <c r="E20" s="451"/>
      <c r="F20" s="1000"/>
      <c r="G20" s="770"/>
      <c r="H20" s="770"/>
      <c r="I20" s="451"/>
      <c r="J20" s="451"/>
      <c r="K20" s="451"/>
      <c r="L20" s="451"/>
      <c r="M20" s="451"/>
    </row>
    <row r="21" spans="1:13" s="832" customFormat="1" ht="15.75">
      <c r="A21" s="458" t="s">
        <v>1031</v>
      </c>
      <c r="B21" s="1569">
        <f>SUM(B16:B20)</f>
        <v>82</v>
      </c>
      <c r="C21" s="451"/>
      <c r="D21" s="1000"/>
      <c r="E21" s="451"/>
      <c r="F21" s="1000"/>
      <c r="G21" s="770"/>
      <c r="H21" s="770"/>
      <c r="I21" s="451"/>
      <c r="J21" s="451"/>
      <c r="K21" s="451"/>
      <c r="L21" s="451"/>
      <c r="M21" s="451"/>
    </row>
    <row r="22" spans="1:13">
      <c r="A22" s="451"/>
      <c r="B22" s="1559"/>
      <c r="C22" s="451"/>
      <c r="D22" s="451"/>
      <c r="E22" s="451"/>
      <c r="F22" s="451"/>
      <c r="G22" s="451"/>
      <c r="H22" s="451"/>
      <c r="I22" s="451"/>
      <c r="J22" s="451"/>
      <c r="K22" s="451"/>
      <c r="L22" s="451"/>
      <c r="M22" s="451"/>
    </row>
    <row r="23" spans="1:13" ht="15.75">
      <c r="A23" s="1298" t="s">
        <v>1452</v>
      </c>
      <c r="B23" s="1577">
        <f>'Farms and Ag'!E92+'Food Waste'!E66+Landfills!D120+WWT!D64</f>
        <v>29</v>
      </c>
      <c r="C23" s="1578" t="s">
        <v>1250</v>
      </c>
      <c r="D23" s="451"/>
      <c r="E23" s="451"/>
      <c r="F23" s="451"/>
      <c r="G23" s="544"/>
      <c r="H23" s="544"/>
      <c r="I23" s="451"/>
      <c r="J23" s="451"/>
      <c r="K23" s="451"/>
      <c r="L23" s="451"/>
      <c r="M23" s="451"/>
    </row>
    <row r="24" spans="1:13" ht="15.75">
      <c r="A24" s="1298" t="s">
        <v>1453</v>
      </c>
      <c r="B24" s="1577">
        <f>'Farms and Ag'!E93+'Food Waste'!E67+Landfills!D121+WWT!D65</f>
        <v>9</v>
      </c>
      <c r="C24" s="1578" t="s">
        <v>1251</v>
      </c>
      <c r="D24" s="451"/>
      <c r="E24" s="451"/>
      <c r="F24" s="451"/>
      <c r="G24" s="544"/>
      <c r="H24" s="544"/>
      <c r="I24" s="451"/>
      <c r="J24" s="451"/>
      <c r="K24" s="451"/>
      <c r="L24" s="451"/>
      <c r="M24" s="451"/>
    </row>
    <row r="25" spans="1:13">
      <c r="A25" s="451"/>
      <c r="B25" s="451"/>
      <c r="C25" s="451"/>
      <c r="D25" s="451"/>
      <c r="E25" s="451"/>
      <c r="F25" s="451"/>
      <c r="G25" s="451"/>
      <c r="H25" s="451"/>
      <c r="I25" s="451"/>
      <c r="J25" s="451"/>
      <c r="K25" s="451"/>
      <c r="L25" s="451"/>
      <c r="M25" s="451"/>
    </row>
    <row r="26" spans="1:13" ht="15.75">
      <c r="A26" s="1292" t="s">
        <v>1648</v>
      </c>
      <c r="B26" s="1293"/>
      <c r="C26" s="1293"/>
      <c r="D26" s="1293"/>
      <c r="E26" s="1294"/>
      <c r="F26" s="451"/>
      <c r="G26" s="451"/>
      <c r="H26" s="451"/>
      <c r="I26" s="451"/>
      <c r="J26" s="451"/>
      <c r="K26" s="451"/>
      <c r="L26" s="451"/>
      <c r="M26" s="451"/>
    </row>
    <row r="27" spans="1:13" ht="49.5" customHeight="1">
      <c r="A27" s="1290"/>
      <c r="B27" s="1291" t="s">
        <v>1036</v>
      </c>
      <c r="C27" s="1291" t="s">
        <v>1037</v>
      </c>
      <c r="D27" s="1291" t="s">
        <v>1038</v>
      </c>
      <c r="E27" s="1291" t="s">
        <v>1039</v>
      </c>
      <c r="F27" s="453" t="s">
        <v>1040</v>
      </c>
      <c r="G27" s="459"/>
      <c r="H27" s="459"/>
      <c r="I27" s="451"/>
      <c r="J27" s="451"/>
      <c r="K27" s="451"/>
      <c r="L27" s="451"/>
      <c r="M27" s="451"/>
    </row>
    <row r="28" spans="1:13" ht="15.75">
      <c r="A28" s="454" t="s">
        <v>1032</v>
      </c>
      <c r="B28" s="1556">
        <f>B4</f>
        <v>58</v>
      </c>
      <c r="C28" s="455">
        <f>Landfills!F115</f>
        <v>40319183.688412353</v>
      </c>
      <c r="D28" s="455">
        <f>C28/0.112194</f>
        <v>359370230.92511499</v>
      </c>
      <c r="E28" s="455">
        <f>C28/B28</f>
        <v>695158.33945538546</v>
      </c>
      <c r="F28" s="455">
        <f>D28/B28</f>
        <v>6196038.4642261202</v>
      </c>
      <c r="G28" s="459"/>
      <c r="H28" s="459"/>
      <c r="I28" s="451"/>
      <c r="J28" s="451"/>
      <c r="K28" s="451"/>
      <c r="L28" s="451"/>
      <c r="M28" s="451"/>
    </row>
    <row r="29" spans="1:13" ht="15.75">
      <c r="A29" s="452" t="s">
        <v>1033</v>
      </c>
      <c r="B29" s="1556">
        <f>B5</f>
        <v>11</v>
      </c>
      <c r="C29" s="455">
        <f>'Farms and Ag'!G88</f>
        <v>1458005.1122000001</v>
      </c>
      <c r="D29" s="455">
        <f>C29/0.112194</f>
        <v>12995392.910494324</v>
      </c>
      <c r="E29" s="455">
        <f>C29/B29</f>
        <v>132545.91929090911</v>
      </c>
      <c r="F29" s="455">
        <f>D29/B29</f>
        <v>1181399.3554994839</v>
      </c>
      <c r="G29" s="459"/>
      <c r="H29" s="459"/>
      <c r="I29" s="451"/>
      <c r="J29" s="451"/>
      <c r="K29" s="451"/>
      <c r="L29" s="451"/>
      <c r="M29" s="451"/>
    </row>
    <row r="30" spans="1:13" ht="15.75">
      <c r="A30" s="454" t="s">
        <v>1034</v>
      </c>
      <c r="B30" s="1556">
        <f>B6</f>
        <v>7</v>
      </c>
      <c r="C30" s="455">
        <f>'Food Waste'!G62</f>
        <v>1944770.3043999998</v>
      </c>
      <c r="D30" s="455">
        <f>C30/0.112194</f>
        <v>17333995.618304007</v>
      </c>
      <c r="E30" s="455">
        <f>C30/B30</f>
        <v>277824.32919999998</v>
      </c>
      <c r="F30" s="455">
        <f>D30/B30</f>
        <v>2476285.0883291438</v>
      </c>
      <c r="G30" s="459"/>
      <c r="H30" s="459"/>
      <c r="I30" s="451"/>
      <c r="J30" s="451"/>
      <c r="K30" s="451"/>
      <c r="L30" s="451"/>
      <c r="M30" s="451"/>
    </row>
    <row r="31" spans="1:13" ht="15.75">
      <c r="A31" s="452" t="s">
        <v>1035</v>
      </c>
      <c r="B31" s="1556">
        <f>B7</f>
        <v>13</v>
      </c>
      <c r="C31" s="455">
        <f>WWT!F59</f>
        <v>1947924.5272579999</v>
      </c>
      <c r="D31" s="455">
        <f>C31/0.112194</f>
        <v>17362109.624917552</v>
      </c>
      <c r="E31" s="455">
        <f>C31/B31</f>
        <v>149840.34825061538</v>
      </c>
      <c r="F31" s="455">
        <f>D31/B31</f>
        <v>1335546.8942244272</v>
      </c>
      <c r="G31" s="459"/>
      <c r="H31" s="459"/>
      <c r="I31" s="451"/>
      <c r="J31" s="451"/>
      <c r="K31" s="451"/>
      <c r="L31" s="451"/>
      <c r="M31" s="451"/>
    </row>
    <row r="32" spans="1:13" ht="15.75">
      <c r="A32" s="454" t="s">
        <v>163</v>
      </c>
      <c r="B32" s="1556">
        <f>[3]Other_Waste_Treatment!C8</f>
        <v>0</v>
      </c>
      <c r="C32" s="455">
        <v>0</v>
      </c>
      <c r="D32" s="455">
        <v>0</v>
      </c>
      <c r="E32" s="455">
        <v>0</v>
      </c>
      <c r="F32" s="455">
        <v>0</v>
      </c>
      <c r="G32" s="459"/>
      <c r="H32" s="459"/>
      <c r="I32" s="451"/>
      <c r="J32" s="451"/>
      <c r="K32" s="451"/>
      <c r="L32" s="451"/>
      <c r="M32" s="451"/>
    </row>
    <row r="33" spans="1:13" ht="15.75">
      <c r="A33" s="491" t="s">
        <v>1573</v>
      </c>
      <c r="B33" s="1560">
        <f>SUM(B28:B32)</f>
        <v>89</v>
      </c>
      <c r="C33" s="492">
        <f>SUM(C28:C32)</f>
        <v>45669883.632270351</v>
      </c>
      <c r="D33" s="492">
        <f>SUM(D28:D32)</f>
        <v>407061729.0788309</v>
      </c>
      <c r="E33" s="492">
        <f>SUM(C28:C32)/B9</f>
        <v>513144.75991314999</v>
      </c>
      <c r="F33" s="492">
        <f>D33/B33</f>
        <v>4573727.2930205716</v>
      </c>
      <c r="G33" s="459"/>
      <c r="H33" s="459"/>
      <c r="I33" s="451"/>
      <c r="J33" s="451"/>
      <c r="K33" s="451"/>
      <c r="L33" s="451"/>
      <c r="M33" s="451"/>
    </row>
    <row r="34" spans="1:13" ht="15.75">
      <c r="A34" s="1566" t="s">
        <v>1574</v>
      </c>
      <c r="B34" s="1565">
        <f>B10</f>
        <v>61</v>
      </c>
      <c r="C34" s="1344">
        <v>29733963.643097691</v>
      </c>
      <c r="D34" s="1344">
        <v>265022760.95956725</v>
      </c>
      <c r="E34" s="1344">
        <v>495566.06071829487</v>
      </c>
      <c r="F34" s="1344">
        <v>4417046.0159927877</v>
      </c>
      <c r="G34" s="459"/>
      <c r="H34" s="459"/>
      <c r="I34" s="451"/>
      <c r="J34" s="451"/>
      <c r="K34" s="451"/>
      <c r="L34" s="451"/>
      <c r="M34" s="451"/>
    </row>
    <row r="35" spans="1:13" ht="15.75">
      <c r="A35" s="546" t="s">
        <v>1578</v>
      </c>
      <c r="B35" s="1561">
        <f>(B33-B34)/B34</f>
        <v>0.45901639344262296</v>
      </c>
      <c r="C35" s="545">
        <f>(C33-C34)/C34</f>
        <v>0.53595007313705223</v>
      </c>
      <c r="D35" s="545">
        <f>(D33-D34)/D34</f>
        <v>0.53595007313705245</v>
      </c>
      <c r="E35" s="545">
        <f>(E33-E34)/E34</f>
        <v>3.5471959418237373E-2</v>
      </c>
      <c r="F35" s="545">
        <f>(F33-F34)/F34</f>
        <v>3.5471959418237525E-2</v>
      </c>
      <c r="G35" s="459"/>
      <c r="H35" s="459"/>
      <c r="I35" s="451"/>
      <c r="J35" s="451"/>
      <c r="K35" s="451"/>
      <c r="L35" s="451"/>
      <c r="M35" s="451"/>
    </row>
    <row r="36" spans="1:13" s="832" customFormat="1" ht="15.75">
      <c r="A36" s="1001"/>
      <c r="B36" s="770"/>
      <c r="C36" s="770"/>
      <c r="D36" s="770"/>
      <c r="E36" s="770"/>
      <c r="F36" s="770"/>
      <c r="G36" s="459"/>
      <c r="H36" s="459"/>
      <c r="I36" s="451"/>
      <c r="J36" s="451"/>
      <c r="K36" s="451"/>
      <c r="L36" s="451"/>
      <c r="M36" s="451"/>
    </row>
    <row r="37" spans="1:13" s="832" customFormat="1" ht="15.75">
      <c r="A37" s="1292" t="s">
        <v>1649</v>
      </c>
      <c r="B37" s="1293"/>
      <c r="C37" s="1293"/>
      <c r="D37" s="1294"/>
      <c r="E37" s="451"/>
      <c r="F37" s="451"/>
      <c r="G37" s="459"/>
      <c r="H37" s="459"/>
      <c r="I37" s="451"/>
      <c r="J37" s="451"/>
      <c r="K37" s="451"/>
      <c r="L37" s="451"/>
      <c r="M37" s="451"/>
    </row>
    <row r="38" spans="1:13" s="832" customFormat="1" ht="47.25" customHeight="1">
      <c r="A38" s="1290"/>
      <c r="B38" s="1291" t="s">
        <v>1036</v>
      </c>
      <c r="C38" s="1291" t="s">
        <v>1037</v>
      </c>
      <c r="D38" s="1291" t="s">
        <v>1038</v>
      </c>
      <c r="E38" s="453" t="s">
        <v>1039</v>
      </c>
      <c r="F38" s="453" t="s">
        <v>1040</v>
      </c>
      <c r="G38" s="459"/>
      <c r="H38" s="459"/>
      <c r="I38" s="451"/>
      <c r="J38" s="451"/>
      <c r="K38" s="451"/>
      <c r="L38" s="451"/>
      <c r="M38" s="451"/>
    </row>
    <row r="39" spans="1:13" s="832" customFormat="1" ht="15.75">
      <c r="A39" s="454" t="s">
        <v>1032</v>
      </c>
      <c r="B39" s="1556">
        <f>Landfills!D115</f>
        <v>58</v>
      </c>
      <c r="C39" s="455">
        <f>Landfills!G115</f>
        <v>36789152.688412353</v>
      </c>
      <c r="D39" s="455">
        <f>C39/0.112194</f>
        <v>327906596.50616211</v>
      </c>
      <c r="E39" s="455">
        <f>C39/B39</f>
        <v>634295.73600710952</v>
      </c>
      <c r="F39" s="455">
        <f>D39/B39</f>
        <v>5653562.008726933</v>
      </c>
      <c r="G39" s="459"/>
      <c r="H39" s="459"/>
      <c r="I39" s="451"/>
      <c r="J39" s="451"/>
      <c r="K39" s="451"/>
      <c r="L39" s="451"/>
      <c r="M39" s="451"/>
    </row>
    <row r="40" spans="1:13" s="832" customFormat="1" ht="15.75">
      <c r="A40" s="452" t="s">
        <v>1033</v>
      </c>
      <c r="B40" s="1556">
        <f>'Farms and Ag'!E88</f>
        <v>11</v>
      </c>
      <c r="C40" s="455">
        <f>'Farms and Ag'!H88</f>
        <v>927806.11220000009</v>
      </c>
      <c r="D40" s="455">
        <f>C40/0.112194</f>
        <v>8269658.9140239237</v>
      </c>
      <c r="E40" s="455">
        <f>C40/B40</f>
        <v>84346.010200000004</v>
      </c>
      <c r="F40" s="455">
        <f>D40/B40</f>
        <v>751787.17400217487</v>
      </c>
      <c r="G40" s="459"/>
      <c r="H40" s="459"/>
      <c r="I40" s="451"/>
      <c r="J40" s="451"/>
      <c r="K40" s="451"/>
      <c r="L40" s="451"/>
      <c r="M40" s="451"/>
    </row>
    <row r="41" spans="1:13" s="832" customFormat="1" ht="15.75">
      <c r="A41" s="454" t="s">
        <v>1034</v>
      </c>
      <c r="B41" s="1556">
        <f>'Food Waste'!E62</f>
        <v>7</v>
      </c>
      <c r="C41" s="455">
        <f>'Food Waste'!H57</f>
        <v>1332249</v>
      </c>
      <c r="D41" s="455">
        <f>C41/0.112194</f>
        <v>11874512.005989624</v>
      </c>
      <c r="E41" s="455">
        <f>C41/B41</f>
        <v>190321.28571428571</v>
      </c>
      <c r="F41" s="455">
        <f>D41/B41</f>
        <v>1696358.8579985178</v>
      </c>
      <c r="G41" s="459"/>
      <c r="H41" s="459"/>
      <c r="I41" s="451"/>
      <c r="J41" s="451"/>
      <c r="K41" s="451"/>
      <c r="L41" s="451"/>
      <c r="M41" s="451"/>
    </row>
    <row r="42" spans="1:13" s="832" customFormat="1" ht="15.75">
      <c r="A42" s="452" t="s">
        <v>1035</v>
      </c>
      <c r="B42" s="1556">
        <f>WWT!D59</f>
        <v>13</v>
      </c>
      <c r="C42" s="455">
        <f>WWT!G59</f>
        <v>1347924.5272579999</v>
      </c>
      <c r="D42" s="455">
        <f>C42/0.112194</f>
        <v>12014230.059165373</v>
      </c>
      <c r="E42" s="455">
        <f>C42/B42</f>
        <v>103686.50209676923</v>
      </c>
      <c r="F42" s="455">
        <f>D42/B42</f>
        <v>924171.543012721</v>
      </c>
      <c r="G42" s="459"/>
      <c r="H42" s="459"/>
      <c r="I42" s="451"/>
      <c r="J42" s="451"/>
      <c r="K42" s="451"/>
      <c r="L42" s="451"/>
      <c r="M42" s="451"/>
    </row>
    <row r="43" spans="1:13" s="832" customFormat="1" ht="15.75">
      <c r="A43" s="454" t="s">
        <v>163</v>
      </c>
      <c r="B43" s="1556">
        <v>0</v>
      </c>
      <c r="C43" s="455">
        <v>0</v>
      </c>
      <c r="D43" s="455">
        <f t="shared" ref="D43:D45" si="5">C43/0.112194</f>
        <v>0</v>
      </c>
      <c r="E43" s="455"/>
      <c r="F43" s="455"/>
      <c r="G43" s="459"/>
      <c r="H43" s="459"/>
      <c r="I43" s="451"/>
      <c r="J43" s="451"/>
      <c r="K43" s="451"/>
      <c r="L43" s="451"/>
      <c r="M43" s="451"/>
    </row>
    <row r="44" spans="1:13" s="832" customFormat="1" ht="15.75">
      <c r="A44" s="491" t="s">
        <v>1576</v>
      </c>
      <c r="B44" s="1560">
        <f>SUM(B39:B43)</f>
        <v>89</v>
      </c>
      <c r="C44" s="492">
        <f>SUM(C39:C43)</f>
        <v>40397132.327870354</v>
      </c>
      <c r="D44" s="456">
        <f t="shared" si="5"/>
        <v>360064997.48534107</v>
      </c>
      <c r="E44" s="456">
        <f t="shared" ref="E44:E45" si="6">C44/B44</f>
        <v>453900.36323449836</v>
      </c>
      <c r="F44" s="456">
        <f t="shared" ref="F44:F45" si="7">D44/B44</f>
        <v>4045674.1290487759</v>
      </c>
      <c r="G44" s="459"/>
      <c r="H44" s="459"/>
      <c r="I44" s="451"/>
      <c r="J44" s="451"/>
      <c r="K44" s="451"/>
      <c r="L44" s="451"/>
      <c r="M44" s="451"/>
    </row>
    <row r="45" spans="1:13" s="832" customFormat="1" ht="15.75">
      <c r="A45" s="1566" t="s">
        <v>1574</v>
      </c>
      <c r="B45" s="1579">
        <f>B10</f>
        <v>61</v>
      </c>
      <c r="C45" s="1580">
        <v>29733963.643097691</v>
      </c>
      <c r="D45" s="455">
        <f t="shared" si="5"/>
        <v>265022760.95956728</v>
      </c>
      <c r="E45" s="455">
        <f t="shared" si="6"/>
        <v>487442.02693602775</v>
      </c>
      <c r="F45" s="455">
        <f t="shared" si="7"/>
        <v>4344635.425566677</v>
      </c>
      <c r="G45" s="459"/>
      <c r="H45" s="459"/>
      <c r="I45" s="451"/>
      <c r="J45" s="451"/>
      <c r="K45" s="451"/>
      <c r="L45" s="451"/>
      <c r="M45" s="451"/>
    </row>
    <row r="46" spans="1:13" ht="15.75">
      <c r="A46" s="1566" t="s">
        <v>1577</v>
      </c>
      <c r="B46" s="1573">
        <f>(B44-B45)/B45</f>
        <v>0.45901639344262296</v>
      </c>
      <c r="C46" s="1568">
        <f>(C44-C45)/C45</f>
        <v>0.35861914720703453</v>
      </c>
      <c r="D46" s="1568">
        <f>(D44-D45)/D45</f>
        <v>0.35861914720703458</v>
      </c>
      <c r="E46" s="1568">
        <f>(E44-E45)/E45</f>
        <v>-6.8811595734504474E-2</v>
      </c>
      <c r="F46" s="1568">
        <f>(F44-F45)/F45</f>
        <v>-6.8811595734504502E-2</v>
      </c>
      <c r="G46" s="459"/>
      <c r="H46" s="459"/>
      <c r="I46" s="451"/>
      <c r="J46" s="451"/>
      <c r="K46" s="451"/>
      <c r="L46" s="451"/>
      <c r="M46" s="451"/>
    </row>
    <row r="47" spans="1:13">
      <c r="A47" s="451"/>
      <c r="B47" s="451"/>
      <c r="C47" s="451"/>
      <c r="D47" s="451"/>
      <c r="E47" s="451"/>
      <c r="F47" s="451"/>
      <c r="G47" s="451"/>
      <c r="H47" s="451"/>
      <c r="I47" s="451"/>
      <c r="J47" s="451"/>
      <c r="K47" s="451"/>
      <c r="L47" s="451"/>
      <c r="M47" s="451"/>
    </row>
    <row r="48" spans="1:13" ht="15.75">
      <c r="A48" s="1292" t="s">
        <v>1650</v>
      </c>
      <c r="B48" s="1293"/>
      <c r="C48" s="1293"/>
      <c r="D48" s="1294"/>
      <c r="E48" s="451"/>
      <c r="F48" s="459"/>
      <c r="G48" s="451"/>
      <c r="H48" s="451"/>
      <c r="I48" s="451"/>
      <c r="J48" s="451"/>
      <c r="K48" s="451"/>
      <c r="L48" s="451"/>
      <c r="M48" s="451"/>
    </row>
    <row r="49" spans="1:13" ht="47.25" customHeight="1">
      <c r="A49" s="1290"/>
      <c r="B49" s="1291" t="s">
        <v>1041</v>
      </c>
      <c r="C49" s="1291" t="s">
        <v>1042</v>
      </c>
      <c r="D49" s="1291" t="s">
        <v>1043</v>
      </c>
      <c r="E49" s="451"/>
      <c r="F49" s="457"/>
      <c r="G49" s="451"/>
      <c r="H49" s="451"/>
      <c r="I49" s="451"/>
      <c r="J49" s="451"/>
      <c r="K49" s="451"/>
      <c r="L49" s="451"/>
      <c r="M49" s="451"/>
    </row>
    <row r="50" spans="1:13" ht="15.75">
      <c r="A50" s="454" t="s">
        <v>1032</v>
      </c>
      <c r="B50" s="455">
        <f>C4</f>
        <v>8</v>
      </c>
      <c r="C50" s="455">
        <f>Landfills!F118</f>
        <v>5791897.5507999994</v>
      </c>
      <c r="D50" s="455">
        <f>C50/0.112194</f>
        <v>51623950.931422353</v>
      </c>
      <c r="E50" s="451"/>
      <c r="F50" s="451"/>
      <c r="G50" s="451"/>
      <c r="H50" s="451"/>
      <c r="I50" s="451"/>
      <c r="J50" s="451"/>
      <c r="K50" s="451"/>
      <c r="L50" s="451"/>
      <c r="M50" s="451"/>
    </row>
    <row r="51" spans="1:13" ht="15.75">
      <c r="A51" s="452" t="s">
        <v>1033</v>
      </c>
      <c r="B51" s="455">
        <f>C5</f>
        <v>21</v>
      </c>
      <c r="C51" s="455">
        <f>'Farms and Ag'!G90</f>
        <v>4068586</v>
      </c>
      <c r="D51" s="455">
        <f>C51/0.112194</f>
        <v>36263846.551508993</v>
      </c>
      <c r="E51" s="451"/>
      <c r="F51" s="451"/>
      <c r="G51" s="451"/>
      <c r="H51" s="451"/>
      <c r="I51" s="451"/>
      <c r="J51" s="451"/>
      <c r="K51" s="451"/>
      <c r="L51" s="451"/>
      <c r="M51" s="451"/>
    </row>
    <row r="52" spans="1:13" ht="15.75">
      <c r="A52" s="454" t="s">
        <v>1034</v>
      </c>
      <c r="B52" s="455">
        <f>C6</f>
        <v>2</v>
      </c>
      <c r="C52" s="455">
        <f>'Food Waste'!G64</f>
        <v>1095000</v>
      </c>
      <c r="D52" s="455">
        <f>C52/0.112194</f>
        <v>9759880.2074977271</v>
      </c>
      <c r="E52" s="451"/>
      <c r="F52" s="451"/>
      <c r="G52" s="451"/>
      <c r="H52" s="451"/>
      <c r="I52" s="451"/>
      <c r="J52" s="451"/>
      <c r="K52" s="451"/>
      <c r="L52" s="451"/>
      <c r="M52" s="451"/>
    </row>
    <row r="53" spans="1:13" ht="15.75">
      <c r="A53" s="452" t="s">
        <v>1035</v>
      </c>
      <c r="B53" s="455">
        <f>C7</f>
        <v>0</v>
      </c>
      <c r="C53" s="455">
        <f>WWT!F62</f>
        <v>1217580</v>
      </c>
      <c r="D53" s="455">
        <f>C53/0.112194</f>
        <v>10852452.002780898</v>
      </c>
      <c r="E53" s="451"/>
      <c r="F53" s="451"/>
      <c r="G53" s="451"/>
      <c r="H53" s="451"/>
      <c r="I53" s="451"/>
      <c r="J53" s="451"/>
      <c r="K53" s="451"/>
      <c r="L53" s="451"/>
      <c r="M53" s="451"/>
    </row>
    <row r="54" spans="1:13" ht="15.75">
      <c r="A54" s="454" t="s">
        <v>163</v>
      </c>
      <c r="B54" s="455">
        <f>C8</f>
        <v>0</v>
      </c>
      <c r="C54" s="455">
        <v>0</v>
      </c>
      <c r="D54" s="455">
        <v>0</v>
      </c>
      <c r="E54" s="451"/>
      <c r="F54" s="451"/>
      <c r="G54" s="451"/>
      <c r="H54" s="451"/>
      <c r="I54" s="451"/>
      <c r="J54" s="451"/>
      <c r="K54" s="451"/>
      <c r="L54" s="451"/>
      <c r="M54" s="451"/>
    </row>
    <row r="55" spans="1:13" ht="15.75">
      <c r="A55" s="491" t="s">
        <v>1031</v>
      </c>
      <c r="B55" s="492">
        <f>SUM(B50:B54)</f>
        <v>31</v>
      </c>
      <c r="C55" s="492">
        <f>SUM(C50:C54)</f>
        <v>12173063.550799999</v>
      </c>
      <c r="D55" s="492">
        <f>SUM(D50:D54)</f>
        <v>108500129.69320998</v>
      </c>
      <c r="E55" s="451"/>
      <c r="F55" s="451"/>
      <c r="G55" s="451"/>
      <c r="H55" s="451"/>
      <c r="I55" s="547"/>
      <c r="J55" s="547"/>
      <c r="K55" s="451"/>
      <c r="L55" s="451"/>
      <c r="M55" s="451"/>
    </row>
    <row r="56" spans="1:13">
      <c r="A56" s="1581" t="s">
        <v>1575</v>
      </c>
      <c r="B56" s="1582">
        <v>24</v>
      </c>
      <c r="C56" s="1582">
        <v>13148300</v>
      </c>
      <c r="D56" s="1582">
        <f>C56/0.112194</f>
        <v>117192541.4906323</v>
      </c>
      <c r="E56" s="1583"/>
      <c r="F56" s="451"/>
      <c r="G56" s="451"/>
      <c r="H56" s="451"/>
      <c r="I56" s="451"/>
      <c r="J56" s="451"/>
      <c r="K56" s="451"/>
      <c r="L56" s="451"/>
      <c r="M56" s="451"/>
    </row>
    <row r="57" spans="1:13">
      <c r="A57" s="1566" t="s">
        <v>1578</v>
      </c>
      <c r="B57" s="1568">
        <f>(B55-B56)/B56</f>
        <v>0.29166666666666669</v>
      </c>
      <c r="C57" s="1568">
        <f>(C55-C56)/C56</f>
        <v>-7.417205640272892E-2</v>
      </c>
      <c r="D57" s="1568">
        <f>(D55-D56)/D56</f>
        <v>-7.417205640272885E-2</v>
      </c>
      <c r="E57" s="543"/>
      <c r="F57" s="543"/>
      <c r="G57" s="543"/>
      <c r="H57" s="543"/>
      <c r="I57" s="451"/>
      <c r="J57" s="451"/>
      <c r="K57" s="451"/>
      <c r="L57" s="451"/>
      <c r="M57" s="451"/>
    </row>
    <row r="58" spans="1:13">
      <c r="A58" s="451"/>
      <c r="B58" s="451"/>
      <c r="C58" s="451"/>
      <c r="D58" s="451"/>
      <c r="E58" s="451"/>
      <c r="F58" s="451"/>
      <c r="G58" s="451"/>
      <c r="H58" s="451"/>
      <c r="I58" s="451"/>
      <c r="J58" s="451"/>
      <c r="K58" s="451"/>
      <c r="L58" s="451"/>
      <c r="M58" s="451"/>
    </row>
    <row r="59" spans="1:13" ht="15.75">
      <c r="A59" s="1292" t="s">
        <v>1572</v>
      </c>
      <c r="B59" s="1297"/>
      <c r="C59" s="460"/>
      <c r="D59" s="460"/>
      <c r="E59" s="460"/>
      <c r="F59" s="451"/>
      <c r="G59" s="451"/>
      <c r="H59" s="451"/>
      <c r="I59" s="451"/>
      <c r="J59" s="451"/>
      <c r="K59" s="451"/>
      <c r="L59" s="451"/>
      <c r="M59" s="451"/>
    </row>
    <row r="60" spans="1:13" ht="47.25">
      <c r="A60" s="1295"/>
      <c r="B60" s="1296" t="s">
        <v>46</v>
      </c>
      <c r="C60" s="462" t="s">
        <v>1029</v>
      </c>
      <c r="D60" s="462" t="s">
        <v>282</v>
      </c>
      <c r="E60" s="462" t="s">
        <v>1030</v>
      </c>
      <c r="F60" s="462" t="s">
        <v>1031</v>
      </c>
      <c r="G60" s="871" t="s">
        <v>1405</v>
      </c>
      <c r="H60" s="451"/>
      <c r="I60" s="451"/>
      <c r="J60" s="451"/>
      <c r="K60" s="451"/>
      <c r="L60" s="451"/>
      <c r="M60" s="451"/>
    </row>
    <row r="61" spans="1:13" ht="15.75">
      <c r="A61" s="463" t="s">
        <v>1032</v>
      </c>
      <c r="B61" s="455">
        <f>Landfills!D125</f>
        <v>0</v>
      </c>
      <c r="C61" s="455">
        <f>Landfills!D126</f>
        <v>0</v>
      </c>
      <c r="D61" s="455">
        <f>Landfills!D127</f>
        <v>1</v>
      </c>
      <c r="E61" s="455">
        <f>Landfills!D128+Landfills!D130</f>
        <v>1</v>
      </c>
      <c r="F61" s="456">
        <f>SUM(B61:E61)</f>
        <v>2</v>
      </c>
      <c r="G61" s="455">
        <f>Landfills!D129+Landfills!D131</f>
        <v>0</v>
      </c>
      <c r="H61" s="451"/>
      <c r="I61" s="451"/>
      <c r="J61" s="451"/>
      <c r="K61" s="451"/>
      <c r="L61" s="451"/>
      <c r="M61" s="451"/>
    </row>
    <row r="62" spans="1:13" ht="15.75">
      <c r="A62" s="461" t="s">
        <v>1033</v>
      </c>
      <c r="B62" s="455">
        <f>'Farms and Ag'!E97</f>
        <v>1</v>
      </c>
      <c r="C62" s="455">
        <f>'Farms and Ag'!E98</f>
        <v>0</v>
      </c>
      <c r="D62" s="455">
        <f>'Farms and Ag'!E99</f>
        <v>4</v>
      </c>
      <c r="E62" s="455">
        <f>'Farms and Ag'!E100+'Farms and Ag'!E102</f>
        <v>1</v>
      </c>
      <c r="F62" s="456">
        <f>SUM(B62:E62)</f>
        <v>6</v>
      </c>
      <c r="G62" s="455">
        <f>'Farms and Ag'!E101+'Farms and Ag'!E103</f>
        <v>0</v>
      </c>
      <c r="H62" s="451"/>
      <c r="I62" s="451"/>
      <c r="J62" s="451"/>
      <c r="K62" s="451"/>
      <c r="L62" s="451"/>
      <c r="M62" s="451"/>
    </row>
    <row r="63" spans="1:13" ht="15.75">
      <c r="A63" s="463" t="s">
        <v>1034</v>
      </c>
      <c r="B63" s="455">
        <f>'Food Waste'!$E71</f>
        <v>0</v>
      </c>
      <c r="C63" s="455">
        <f>'Food Waste'!$E72</f>
        <v>0</v>
      </c>
      <c r="D63" s="455">
        <f>'Food Waste'!$E73</f>
        <v>0</v>
      </c>
      <c r="E63" s="455">
        <f>'Food Waste'!$E74+'Food Waste'!$E76</f>
        <v>3</v>
      </c>
      <c r="F63" s="456">
        <f>SUM(B63:E63)</f>
        <v>3</v>
      </c>
      <c r="G63" s="455">
        <f>'Food Waste'!$E75+'Food Waste'!$E77</f>
        <v>0</v>
      </c>
      <c r="H63" s="457"/>
      <c r="I63" s="451"/>
      <c r="J63" s="451"/>
      <c r="K63" s="451"/>
      <c r="L63" s="451"/>
      <c r="M63" s="451"/>
    </row>
    <row r="64" spans="1:13" ht="15.75">
      <c r="A64" s="461" t="s">
        <v>1035</v>
      </c>
      <c r="B64" s="455">
        <f>WWT!$D68</f>
        <v>0</v>
      </c>
      <c r="C64" s="455">
        <f>WWT!$D69</f>
        <v>0</v>
      </c>
      <c r="D64" s="455">
        <f>WWT!$D70</f>
        <v>0</v>
      </c>
      <c r="E64" s="455">
        <f>WWT!$D71+WWT!$D72</f>
        <v>0</v>
      </c>
      <c r="F64" s="456">
        <f>SUM(B64:E64)</f>
        <v>0</v>
      </c>
      <c r="G64" s="455">
        <f>WWT!$D71+WWT!$D72</f>
        <v>0</v>
      </c>
      <c r="H64" s="457"/>
      <c r="I64" s="451"/>
      <c r="J64" s="451"/>
      <c r="K64" s="451"/>
      <c r="L64" s="451"/>
      <c r="M64" s="451"/>
    </row>
    <row r="65" spans="1:13" ht="15.75">
      <c r="A65" s="463" t="s">
        <v>163</v>
      </c>
      <c r="B65" s="455">
        <f>[1]Other_Waste_Treatment!C18</f>
        <v>0</v>
      </c>
      <c r="C65" s="455">
        <f>[1]Other_Waste_Treatment!C19</f>
        <v>0</v>
      </c>
      <c r="D65" s="455">
        <f>[1]Other_Waste_Treatment!C20</f>
        <v>0</v>
      </c>
      <c r="E65" s="455">
        <f>[1]Other_Waste_Treatment!C21+[1]Other_Waste_Treatment!C22</f>
        <v>0</v>
      </c>
      <c r="F65" s="456">
        <f>SUM(B65:E65)</f>
        <v>0</v>
      </c>
      <c r="G65" s="455">
        <f>[1]Other_Waste_Treatment!E21+[1]Other_Waste_Treatment!E22</f>
        <v>0</v>
      </c>
      <c r="H65" s="451"/>
      <c r="I65" s="451"/>
      <c r="J65" s="451"/>
      <c r="K65" s="451"/>
      <c r="L65" s="451"/>
      <c r="M65" s="451"/>
    </row>
    <row r="66" spans="1:13" ht="15.75">
      <c r="A66" s="464" t="s">
        <v>1031</v>
      </c>
      <c r="B66" s="551">
        <f t="shared" ref="B66:F67" si="8">SUM(B61:B65)</f>
        <v>1</v>
      </c>
      <c r="C66" s="551">
        <f t="shared" si="8"/>
        <v>0</v>
      </c>
      <c r="D66" s="551">
        <f t="shared" si="8"/>
        <v>5</v>
      </c>
      <c r="E66" s="551">
        <f t="shared" si="8"/>
        <v>5</v>
      </c>
      <c r="F66" s="492">
        <f t="shared" si="8"/>
        <v>11</v>
      </c>
      <c r="G66" s="551">
        <f t="shared" ref="G66" si="9">SUM(G61:G65)</f>
        <v>0</v>
      </c>
      <c r="H66" s="451"/>
      <c r="I66" s="451"/>
      <c r="J66" s="451"/>
      <c r="K66" s="451"/>
      <c r="L66" s="451"/>
      <c r="M66" s="451"/>
    </row>
    <row r="67" spans="1:13" ht="15.75">
      <c r="A67" s="550" t="s">
        <v>1159</v>
      </c>
      <c r="B67" s="552">
        <v>12</v>
      </c>
      <c r="C67" s="552">
        <v>8</v>
      </c>
      <c r="D67" s="552">
        <v>4</v>
      </c>
      <c r="E67" s="552">
        <v>10</v>
      </c>
      <c r="F67" s="553">
        <f t="shared" si="8"/>
        <v>20</v>
      </c>
      <c r="G67" s="552">
        <v>10</v>
      </c>
      <c r="H67" s="451"/>
      <c r="I67" s="451"/>
      <c r="J67" s="451"/>
      <c r="K67" s="451"/>
      <c r="L67" s="451"/>
      <c r="M67" s="451"/>
    </row>
    <row r="68" spans="1:13">
      <c r="A68" s="549" t="s">
        <v>1246</v>
      </c>
      <c r="B68" s="554">
        <f t="shared" ref="B68:G68" si="10">(B66-B67)/B67</f>
        <v>-0.91666666666666663</v>
      </c>
      <c r="C68" s="554">
        <f t="shared" si="10"/>
        <v>-1</v>
      </c>
      <c r="D68" s="545">
        <f t="shared" si="10"/>
        <v>0.25</v>
      </c>
      <c r="E68" s="545">
        <f t="shared" si="10"/>
        <v>-0.5</v>
      </c>
      <c r="F68" s="554">
        <f t="shared" si="10"/>
        <v>-0.45</v>
      </c>
      <c r="G68" s="545">
        <f t="shared" si="10"/>
        <v>-1</v>
      </c>
      <c r="H68" s="451"/>
      <c r="I68" s="451"/>
      <c r="J68" s="451"/>
      <c r="K68" s="451"/>
      <c r="L68" s="451"/>
      <c r="M68" s="451"/>
    </row>
    <row r="69" spans="1:13">
      <c r="A69" s="451"/>
      <c r="B69" s="451"/>
      <c r="C69" s="451"/>
      <c r="D69" s="451"/>
      <c r="E69" s="451"/>
      <c r="F69" s="451"/>
      <c r="G69" s="451"/>
      <c r="H69" s="451"/>
      <c r="I69" s="451"/>
      <c r="J69" s="451"/>
      <c r="K69" s="451"/>
      <c r="L69" s="451"/>
      <c r="M69" s="451"/>
    </row>
    <row r="70" spans="1:13" ht="15.75">
      <c r="A70" s="1292" t="s">
        <v>1651</v>
      </c>
      <c r="B70" s="1293"/>
      <c r="C70" s="1294"/>
      <c r="D70" s="451"/>
      <c r="E70" s="451"/>
      <c r="F70" s="451"/>
      <c r="G70" s="451"/>
      <c r="H70" s="451"/>
      <c r="I70" s="451"/>
      <c r="J70" s="451"/>
      <c r="K70" s="451"/>
      <c r="L70" s="451"/>
      <c r="M70" s="451"/>
    </row>
    <row r="71" spans="1:13" ht="63">
      <c r="A71" s="465"/>
      <c r="B71" s="466" t="s">
        <v>1723</v>
      </c>
      <c r="C71" s="466" t="s">
        <v>1724</v>
      </c>
      <c r="D71" s="466" t="s">
        <v>1725</v>
      </c>
      <c r="E71" s="466" t="s">
        <v>1726</v>
      </c>
      <c r="F71" s="451"/>
      <c r="G71" s="451"/>
      <c r="H71" s="451"/>
      <c r="I71" s="451"/>
      <c r="J71" s="451"/>
      <c r="K71" s="451"/>
      <c r="L71" s="451"/>
      <c r="M71" s="451"/>
    </row>
    <row r="72" spans="1:13" ht="15.75">
      <c r="A72" s="463" t="s">
        <v>1032</v>
      </c>
      <c r="B72" s="455">
        <f>Landfills!F135</f>
        <v>0</v>
      </c>
      <c r="C72" s="455">
        <f>B72/0.112194</f>
        <v>0</v>
      </c>
      <c r="D72" s="455">
        <v>0</v>
      </c>
      <c r="E72" s="455">
        <v>0</v>
      </c>
      <c r="F72" s="451"/>
      <c r="G72" s="451"/>
      <c r="H72" s="451"/>
      <c r="I72" s="451"/>
      <c r="J72" s="451"/>
      <c r="K72" s="451"/>
      <c r="L72" s="451"/>
      <c r="M72" s="451"/>
    </row>
    <row r="73" spans="1:13" ht="15.75">
      <c r="A73" s="461" t="s">
        <v>1033</v>
      </c>
      <c r="B73" s="455">
        <f>'Farms and Ag'!G112</f>
        <v>14782.5</v>
      </c>
      <c r="C73" s="455">
        <f>B73/0.112194</f>
        <v>131758.38280121933</v>
      </c>
      <c r="D73" s="455">
        <f>B73/B62</f>
        <v>14782.5</v>
      </c>
      <c r="E73" s="455">
        <f>C73/B62</f>
        <v>131758.38280121933</v>
      </c>
      <c r="F73" s="451"/>
      <c r="G73" s="451"/>
      <c r="H73" s="451"/>
      <c r="I73" s="451"/>
      <c r="J73" s="451"/>
      <c r="K73" s="451"/>
      <c r="L73" s="451"/>
      <c r="M73" s="451"/>
    </row>
    <row r="74" spans="1:13" ht="15.75">
      <c r="A74" s="463" t="s">
        <v>1034</v>
      </c>
      <c r="B74" s="455">
        <f>'Food Waste'!G86</f>
        <v>0</v>
      </c>
      <c r="C74" s="455">
        <f>B74/0.112194</f>
        <v>0</v>
      </c>
      <c r="D74" s="455">
        <v>0</v>
      </c>
      <c r="E74" s="455">
        <v>0</v>
      </c>
      <c r="F74" s="451"/>
      <c r="G74" s="451"/>
      <c r="H74" s="451"/>
      <c r="I74" s="451"/>
      <c r="J74" s="451"/>
      <c r="K74" s="451"/>
      <c r="L74" s="451"/>
      <c r="M74" s="451"/>
    </row>
    <row r="75" spans="1:13" ht="15.75">
      <c r="A75" s="461" t="s">
        <v>1035</v>
      </c>
      <c r="B75" s="455">
        <f>WWT!F81</f>
        <v>0</v>
      </c>
      <c r="C75" s="455">
        <f>B75/0.112194</f>
        <v>0</v>
      </c>
      <c r="D75" s="455">
        <f>IF(B64,B75/B64,0)</f>
        <v>0</v>
      </c>
      <c r="E75" s="455">
        <f>IF(B64, C75/B64,0)</f>
        <v>0</v>
      </c>
      <c r="F75" s="451"/>
      <c r="G75" s="451"/>
      <c r="H75" s="451"/>
      <c r="I75" s="451"/>
      <c r="J75" s="451"/>
      <c r="K75" s="451"/>
      <c r="L75" s="451"/>
      <c r="M75" s="451"/>
    </row>
    <row r="76" spans="1:13" ht="15.75">
      <c r="A76" s="463" t="s">
        <v>163</v>
      </c>
      <c r="B76" s="455">
        <v>0</v>
      </c>
      <c r="C76" s="455">
        <v>0</v>
      </c>
      <c r="D76" s="455">
        <v>0</v>
      </c>
      <c r="E76" s="455">
        <v>0</v>
      </c>
      <c r="F76" s="451"/>
      <c r="G76" s="451"/>
      <c r="H76" s="451"/>
      <c r="I76" s="451"/>
      <c r="J76" s="451"/>
      <c r="K76" s="451"/>
      <c r="L76" s="451"/>
      <c r="M76" s="451"/>
    </row>
    <row r="77" spans="1:13" ht="15.75">
      <c r="A77" s="467" t="s">
        <v>1031</v>
      </c>
      <c r="B77" s="455">
        <f>SUM(B72:B76)</f>
        <v>14782.5</v>
      </c>
      <c r="C77" s="455">
        <f>SUM(C72:C76)</f>
        <v>131758.38280121933</v>
      </c>
      <c r="D77" s="455">
        <f>SUM(B72:B76)/B66</f>
        <v>14782.5</v>
      </c>
      <c r="E77" s="455">
        <f>SUM(C72:C76)/B66</f>
        <v>131758.38280121933</v>
      </c>
      <c r="F77" s="451"/>
      <c r="G77" s="451"/>
      <c r="H77" s="451"/>
    </row>
    <row r="78" spans="1:13" ht="15.75">
      <c r="A78" s="550" t="s">
        <v>1159</v>
      </c>
      <c r="B78" s="455">
        <v>3008712.8478300003</v>
      </c>
      <c r="C78" s="455">
        <v>26817056.596876837</v>
      </c>
      <c r="D78" s="455">
        <v>250726.07065250003</v>
      </c>
      <c r="E78" s="455">
        <v>2234754.7164064031</v>
      </c>
      <c r="F78" s="451"/>
      <c r="G78" s="451"/>
      <c r="H78" s="451"/>
    </row>
    <row r="79" spans="1:13">
      <c r="A79" s="549" t="s">
        <v>1247</v>
      </c>
      <c r="B79" s="554">
        <f>(B77-B78)/B78</f>
        <v>-0.99508676941016094</v>
      </c>
      <c r="C79" s="554">
        <f>(C77-C78)/C78</f>
        <v>-0.99508676941016094</v>
      </c>
      <c r="D79" s="554">
        <f>(D77-D78)/D78</f>
        <v>-0.94104123292193187</v>
      </c>
      <c r="E79" s="554">
        <f>(E77-E78)/E78</f>
        <v>-0.94104123292193187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2"/>
  <sheetViews>
    <sheetView topLeftCell="A60" workbookViewId="0">
      <selection activeCell="J11" sqref="J11:P12"/>
    </sheetView>
  </sheetViews>
  <sheetFormatPr defaultColWidth="40.28515625" defaultRowHeight="15"/>
  <cols>
    <col min="1" max="1" width="10.140625" customWidth="1"/>
    <col min="2" max="2" width="58.140625" customWidth="1"/>
    <col min="3" max="3" width="6.28515625" bestFit="1" customWidth="1"/>
    <col min="4" max="4" width="13.42578125" customWidth="1"/>
    <col min="5" max="5" width="13.42578125" style="832" customWidth="1"/>
    <col min="6" max="6" width="21.42578125" style="1404" customWidth="1"/>
  </cols>
  <sheetData>
    <row r="1" spans="1:6">
      <c r="A1" s="503" t="s">
        <v>1454</v>
      </c>
      <c r="E1" t="s">
        <v>1501</v>
      </c>
    </row>
    <row r="2" spans="1:6" s="832" customFormat="1">
      <c r="A2" s="503" t="s">
        <v>1442</v>
      </c>
      <c r="F2" s="1404"/>
    </row>
    <row r="3" spans="1:6">
      <c r="A3" s="1"/>
      <c r="B3" s="469"/>
      <c r="C3" s="469"/>
      <c r="D3" s="469"/>
      <c r="E3" s="469"/>
    </row>
    <row r="4" spans="1:6" ht="37.5" customHeight="1">
      <c r="A4" s="495" t="s">
        <v>1160</v>
      </c>
      <c r="B4" s="494" t="s">
        <v>1161</v>
      </c>
      <c r="C4" s="494" t="s">
        <v>1162</v>
      </c>
      <c r="D4" s="495" t="s">
        <v>1510</v>
      </c>
      <c r="E4" s="495" t="s">
        <v>1500</v>
      </c>
      <c r="F4" s="1405" t="s">
        <v>1505</v>
      </c>
    </row>
    <row r="5" spans="1:6" s="832" customFormat="1">
      <c r="A5" s="496" t="s">
        <v>1164</v>
      </c>
      <c r="B5" s="1376" t="s">
        <v>48</v>
      </c>
      <c r="C5" s="1354" t="s">
        <v>50</v>
      </c>
      <c r="D5" s="1355" t="s">
        <v>27</v>
      </c>
      <c r="E5" s="1355"/>
      <c r="F5" s="1346" t="s">
        <v>1511</v>
      </c>
    </row>
    <row r="6" spans="1:6" s="832" customFormat="1">
      <c r="A6" s="496" t="s">
        <v>1164</v>
      </c>
      <c r="B6" s="1376" t="s">
        <v>144</v>
      </c>
      <c r="C6" s="1354" t="s">
        <v>50</v>
      </c>
      <c r="D6" s="1355" t="s">
        <v>38</v>
      </c>
      <c r="E6" s="1355" t="s">
        <v>27</v>
      </c>
      <c r="F6" s="1346" t="s">
        <v>1511</v>
      </c>
    </row>
    <row r="7" spans="1:6" s="832" customFormat="1">
      <c r="A7" s="496" t="s">
        <v>1164</v>
      </c>
      <c r="B7" s="1377" t="s">
        <v>1502</v>
      </c>
      <c r="C7" s="1391" t="s">
        <v>33</v>
      </c>
      <c r="D7" s="1375" t="s">
        <v>27</v>
      </c>
      <c r="E7" s="1375"/>
      <c r="F7" s="1400"/>
    </row>
    <row r="8" spans="1:6" s="832" customFormat="1">
      <c r="A8" s="496" t="s">
        <v>1164</v>
      </c>
      <c r="B8" s="1377" t="s">
        <v>1503</v>
      </c>
      <c r="C8" s="1391" t="s">
        <v>33</v>
      </c>
      <c r="D8" s="1375" t="s">
        <v>38</v>
      </c>
      <c r="E8" s="1375" t="s">
        <v>27</v>
      </c>
      <c r="F8" s="1397"/>
    </row>
    <row r="9" spans="1:6" s="832" customFormat="1">
      <c r="A9" s="1352" t="s">
        <v>1164</v>
      </c>
      <c r="B9" s="1376" t="s">
        <v>29</v>
      </c>
      <c r="C9" s="1354" t="s">
        <v>33</v>
      </c>
      <c r="D9" s="1355" t="s">
        <v>27</v>
      </c>
      <c r="E9" s="1355"/>
      <c r="F9" s="1397" t="s">
        <v>1504</v>
      </c>
    </row>
    <row r="10" spans="1:6" s="832" customFormat="1">
      <c r="A10" s="1352" t="s">
        <v>1164</v>
      </c>
      <c r="B10" s="1378" t="s">
        <v>1171</v>
      </c>
      <c r="C10" s="1392" t="s">
        <v>70</v>
      </c>
      <c r="D10" s="1357" t="s">
        <v>27</v>
      </c>
      <c r="E10" s="1357"/>
      <c r="F10" s="1398"/>
    </row>
    <row r="11" spans="1:6" s="832" customFormat="1">
      <c r="A11" s="496" t="s">
        <v>1164</v>
      </c>
      <c r="B11" s="1379" t="s">
        <v>1173</v>
      </c>
      <c r="C11" s="1393" t="s">
        <v>70</v>
      </c>
      <c r="D11" s="1356" t="s">
        <v>27</v>
      </c>
      <c r="E11" s="1356"/>
      <c r="F11" s="1398"/>
    </row>
    <row r="12" spans="1:6" s="832" customFormat="1">
      <c r="A12" s="1352" t="s">
        <v>1164</v>
      </c>
      <c r="B12" s="1380" t="s">
        <v>1172</v>
      </c>
      <c r="C12" s="1390" t="s">
        <v>70</v>
      </c>
      <c r="D12" s="1396" t="s">
        <v>27</v>
      </c>
      <c r="E12" s="1396"/>
      <c r="F12" s="1345"/>
    </row>
    <row r="13" spans="1:6" s="832" customFormat="1">
      <c r="A13" s="1352" t="s">
        <v>1164</v>
      </c>
      <c r="B13" s="1381" t="s">
        <v>79</v>
      </c>
      <c r="C13" s="1394" t="s">
        <v>81</v>
      </c>
      <c r="D13" s="1355" t="s">
        <v>27</v>
      </c>
      <c r="E13" s="1355"/>
      <c r="F13" s="1400" t="s">
        <v>1504</v>
      </c>
    </row>
    <row r="14" spans="1:6" s="832" customFormat="1">
      <c r="A14" s="1352" t="s">
        <v>1164</v>
      </c>
      <c r="B14" s="1382" t="s">
        <v>86</v>
      </c>
      <c r="C14" s="1389" t="s">
        <v>43</v>
      </c>
      <c r="D14" s="1357" t="s">
        <v>27</v>
      </c>
      <c r="E14" s="1357"/>
      <c r="F14" s="1400"/>
    </row>
    <row r="15" spans="1:6" s="832" customFormat="1">
      <c r="A15" s="1352" t="s">
        <v>1164</v>
      </c>
      <c r="B15" s="1383" t="s">
        <v>264</v>
      </c>
      <c r="C15" s="1395" t="s">
        <v>148</v>
      </c>
      <c r="D15" s="1358" t="s">
        <v>27</v>
      </c>
      <c r="E15" s="1358"/>
      <c r="F15" s="1397" t="s">
        <v>1504</v>
      </c>
    </row>
    <row r="16" spans="1:6" s="832" customFormat="1">
      <c r="A16" s="1353" t="s">
        <v>334</v>
      </c>
      <c r="B16" s="1384" t="s">
        <v>349</v>
      </c>
      <c r="C16" s="1359" t="s">
        <v>50</v>
      </c>
      <c r="D16" s="1359" t="s">
        <v>27</v>
      </c>
      <c r="E16" s="1359"/>
      <c r="F16" s="1400"/>
    </row>
    <row r="17" spans="1:6" s="832" customFormat="1">
      <c r="A17" s="1353" t="s">
        <v>334</v>
      </c>
      <c r="B17" s="1385" t="s">
        <v>318</v>
      </c>
      <c r="C17" s="1360" t="s">
        <v>50</v>
      </c>
      <c r="D17" s="1360" t="s">
        <v>27</v>
      </c>
      <c r="E17" s="1360"/>
      <c r="F17" s="1400"/>
    </row>
    <row r="18" spans="1:6" s="832" customFormat="1">
      <c r="A18" s="1353" t="s">
        <v>334</v>
      </c>
      <c r="B18" s="1386" t="s">
        <v>298</v>
      </c>
      <c r="C18" s="1361" t="s">
        <v>50</v>
      </c>
      <c r="D18" s="1361" t="s">
        <v>27</v>
      </c>
      <c r="E18" s="1361"/>
      <c r="F18" s="1400"/>
    </row>
    <row r="19" spans="1:6" s="832" customFormat="1">
      <c r="A19" s="1353" t="s">
        <v>334</v>
      </c>
      <c r="B19" s="1387" t="s">
        <v>359</v>
      </c>
      <c r="C19" s="1362" t="s">
        <v>361</v>
      </c>
      <c r="D19" s="1362" t="s">
        <v>27</v>
      </c>
      <c r="E19" s="1362"/>
      <c r="F19" s="1400"/>
    </row>
    <row r="20" spans="1:6" s="832" customFormat="1">
      <c r="A20" s="1353" t="s">
        <v>334</v>
      </c>
      <c r="B20" s="1388" t="s">
        <v>1252</v>
      </c>
      <c r="C20" s="1363" t="s">
        <v>43</v>
      </c>
      <c r="D20" s="1363" t="s">
        <v>27</v>
      </c>
      <c r="E20" s="1363"/>
      <c r="F20" s="1400"/>
    </row>
    <row r="21" spans="1:6" s="832" customFormat="1">
      <c r="A21" s="1353" t="s">
        <v>334</v>
      </c>
      <c r="B21" s="1364" t="s">
        <v>340</v>
      </c>
      <c r="C21" s="1365" t="s">
        <v>343</v>
      </c>
      <c r="D21" s="1365" t="s">
        <v>27</v>
      </c>
      <c r="E21" s="1365"/>
      <c r="F21" s="1400" t="s">
        <v>1506</v>
      </c>
    </row>
    <row r="22" spans="1:6" s="832" customFormat="1">
      <c r="A22" s="1353" t="s">
        <v>334</v>
      </c>
      <c r="B22" s="1368" t="s">
        <v>314</v>
      </c>
      <c r="C22" s="1366" t="s">
        <v>148</v>
      </c>
      <c r="D22" s="1367" t="s">
        <v>27</v>
      </c>
      <c r="E22" s="1367"/>
      <c r="F22" s="1400"/>
    </row>
    <row r="23" spans="1:6">
      <c r="A23" s="498" t="s">
        <v>1163</v>
      </c>
      <c r="B23" s="498" t="s">
        <v>489</v>
      </c>
      <c r="C23" s="890" t="s">
        <v>492</v>
      </c>
      <c r="D23" s="890" t="s">
        <v>27</v>
      </c>
      <c r="E23" s="890"/>
      <c r="F23" s="1400"/>
    </row>
    <row r="24" spans="1:6">
      <c r="A24" s="498" t="s">
        <v>1163</v>
      </c>
      <c r="B24" s="498" t="s">
        <v>496</v>
      </c>
      <c r="C24" s="890" t="s">
        <v>50</v>
      </c>
      <c r="D24" s="890" t="s">
        <v>27</v>
      </c>
      <c r="E24" s="890"/>
      <c r="F24" s="1400"/>
    </row>
    <row r="25" spans="1:6">
      <c r="A25" s="498" t="s">
        <v>1163</v>
      </c>
      <c r="B25" s="498" t="s">
        <v>844</v>
      </c>
      <c r="C25" s="890" t="s">
        <v>751</v>
      </c>
      <c r="D25" s="890" t="s">
        <v>27</v>
      </c>
      <c r="E25" s="890"/>
      <c r="F25" s="1400"/>
    </row>
    <row r="26" spans="1:6">
      <c r="A26" s="498" t="s">
        <v>1163</v>
      </c>
      <c r="B26" s="498" t="s">
        <v>509</v>
      </c>
      <c r="C26" s="890" t="s">
        <v>361</v>
      </c>
      <c r="D26" s="890" t="s">
        <v>27</v>
      </c>
      <c r="E26" s="890"/>
      <c r="F26" s="1400"/>
    </row>
    <row r="27" spans="1:6">
      <c r="A27" s="498" t="s">
        <v>1163</v>
      </c>
      <c r="B27" s="1369" t="s">
        <v>1328</v>
      </c>
      <c r="C27" s="1370" t="s">
        <v>33</v>
      </c>
      <c r="D27" s="1370" t="s">
        <v>27</v>
      </c>
      <c r="E27" s="1370"/>
      <c r="F27" s="1400" t="s">
        <v>1506</v>
      </c>
    </row>
    <row r="28" spans="1:6">
      <c r="A28" s="498" t="s">
        <v>1163</v>
      </c>
      <c r="B28" s="498" t="s">
        <v>557</v>
      </c>
      <c r="C28" s="890" t="s">
        <v>172</v>
      </c>
      <c r="D28" s="890" t="s">
        <v>27</v>
      </c>
      <c r="E28" s="890"/>
      <c r="F28" s="1400"/>
    </row>
    <row r="29" spans="1:6">
      <c r="A29" s="498" t="s">
        <v>1163</v>
      </c>
      <c r="B29" s="498" t="s">
        <v>516</v>
      </c>
      <c r="C29" s="890" t="s">
        <v>172</v>
      </c>
      <c r="D29" s="890" t="s">
        <v>27</v>
      </c>
      <c r="E29" s="890"/>
      <c r="F29" s="1400"/>
    </row>
    <row r="30" spans="1:6">
      <c r="A30" s="498" t="s">
        <v>1163</v>
      </c>
      <c r="B30" s="498" t="s">
        <v>866</v>
      </c>
      <c r="C30" s="890" t="s">
        <v>862</v>
      </c>
      <c r="D30" s="890" t="s">
        <v>27</v>
      </c>
      <c r="E30" s="890"/>
      <c r="F30" s="1400"/>
    </row>
    <row r="31" spans="1:6">
      <c r="A31" s="498" t="s">
        <v>1163</v>
      </c>
      <c r="B31" s="498" t="s">
        <v>522</v>
      </c>
      <c r="C31" s="890" t="s">
        <v>525</v>
      </c>
      <c r="D31" s="890" t="s">
        <v>27</v>
      </c>
      <c r="E31" s="890"/>
      <c r="F31" s="1400"/>
    </row>
    <row r="32" spans="1:6">
      <c r="A32" s="498" t="s">
        <v>1163</v>
      </c>
      <c r="B32" s="498" t="s">
        <v>754</v>
      </c>
      <c r="C32" s="890" t="s">
        <v>525</v>
      </c>
      <c r="D32" s="890" t="s">
        <v>27</v>
      </c>
      <c r="E32" s="890"/>
      <c r="F32" s="1400"/>
    </row>
    <row r="33" spans="1:6">
      <c r="A33" s="498" t="s">
        <v>1163</v>
      </c>
      <c r="B33" s="498" t="s">
        <v>530</v>
      </c>
      <c r="C33" s="890" t="s">
        <v>525</v>
      </c>
      <c r="D33" s="890" t="s">
        <v>27</v>
      </c>
      <c r="E33" s="890"/>
      <c r="F33" s="1400"/>
    </row>
    <row r="34" spans="1:6">
      <c r="A34" s="498" t="s">
        <v>1163</v>
      </c>
      <c r="B34" s="498" t="s">
        <v>537</v>
      </c>
      <c r="C34" s="890" t="s">
        <v>525</v>
      </c>
      <c r="D34" s="890" t="s">
        <v>27</v>
      </c>
      <c r="E34" s="890"/>
      <c r="F34" s="1400"/>
    </row>
    <row r="35" spans="1:6">
      <c r="A35" s="498" t="s">
        <v>1163</v>
      </c>
      <c r="B35" s="498" t="s">
        <v>542</v>
      </c>
      <c r="C35" s="890" t="s">
        <v>212</v>
      </c>
      <c r="D35" s="890" t="s">
        <v>27</v>
      </c>
      <c r="E35" s="890"/>
      <c r="F35" s="1400"/>
    </row>
    <row r="36" spans="1:6">
      <c r="A36" s="498" t="s">
        <v>1163</v>
      </c>
      <c r="B36" s="498" t="s">
        <v>549</v>
      </c>
      <c r="C36" s="890" t="s">
        <v>212</v>
      </c>
      <c r="D36" s="890" t="s">
        <v>27</v>
      </c>
      <c r="E36" s="890"/>
      <c r="F36" s="1400"/>
    </row>
    <row r="37" spans="1:6">
      <c r="A37" s="498" t="s">
        <v>1163</v>
      </c>
      <c r="B37" s="498" t="s">
        <v>562</v>
      </c>
      <c r="C37" s="890" t="s">
        <v>212</v>
      </c>
      <c r="D37" s="890" t="s">
        <v>27</v>
      </c>
      <c r="E37" s="890"/>
      <c r="F37" s="1400"/>
    </row>
    <row r="38" spans="1:6">
      <c r="A38" s="498" t="s">
        <v>1163</v>
      </c>
      <c r="B38" s="1371" t="s">
        <v>758</v>
      </c>
      <c r="C38" s="1370" t="s">
        <v>212</v>
      </c>
      <c r="D38" s="1370" t="s">
        <v>38</v>
      </c>
      <c r="E38" s="1370" t="s">
        <v>27</v>
      </c>
      <c r="F38" s="1400" t="s">
        <v>1513</v>
      </c>
    </row>
    <row r="39" spans="1:6">
      <c r="A39" s="498" t="s">
        <v>1163</v>
      </c>
      <c r="B39" s="498" t="s">
        <v>568</v>
      </c>
      <c r="C39" s="890" t="s">
        <v>212</v>
      </c>
      <c r="D39" s="890" t="s">
        <v>27</v>
      </c>
      <c r="E39" s="890"/>
      <c r="F39" s="1400"/>
    </row>
    <row r="40" spans="1:6">
      <c r="A40" s="498" t="s">
        <v>1163</v>
      </c>
      <c r="B40" s="1369" t="s">
        <v>762</v>
      </c>
      <c r="C40" s="1370" t="s">
        <v>763</v>
      </c>
      <c r="D40" s="1370" t="s">
        <v>38</v>
      </c>
      <c r="E40" s="1370" t="s">
        <v>27</v>
      </c>
      <c r="F40" s="1400" t="s">
        <v>1513</v>
      </c>
    </row>
    <row r="41" spans="1:6">
      <c r="A41" s="498" t="s">
        <v>1163</v>
      </c>
      <c r="B41" s="498" t="s">
        <v>574</v>
      </c>
      <c r="C41" s="890" t="s">
        <v>577</v>
      </c>
      <c r="D41" s="890" t="s">
        <v>27</v>
      </c>
      <c r="E41" s="890"/>
      <c r="F41" s="1400"/>
    </row>
    <row r="42" spans="1:6">
      <c r="A42" s="498" t="s">
        <v>1163</v>
      </c>
      <c r="B42" s="497" t="s">
        <v>503</v>
      </c>
      <c r="C42" s="1370" t="s">
        <v>81</v>
      </c>
      <c r="D42" s="1370" t="s">
        <v>27</v>
      </c>
      <c r="E42" s="1370"/>
      <c r="F42" s="1400" t="s">
        <v>1506</v>
      </c>
    </row>
    <row r="43" spans="1:6">
      <c r="A43" s="498" t="s">
        <v>1163</v>
      </c>
      <c r="B43" s="498" t="s">
        <v>767</v>
      </c>
      <c r="C43" s="890" t="s">
        <v>225</v>
      </c>
      <c r="D43" s="890" t="s">
        <v>27</v>
      </c>
      <c r="E43" s="890"/>
      <c r="F43" s="1400"/>
    </row>
    <row r="44" spans="1:6">
      <c r="A44" s="498" t="s">
        <v>1163</v>
      </c>
      <c r="B44" s="498" t="s">
        <v>582</v>
      </c>
      <c r="C44" s="890" t="s">
        <v>225</v>
      </c>
      <c r="D44" s="890" t="s">
        <v>27</v>
      </c>
      <c r="E44" s="890"/>
      <c r="F44" s="1400"/>
    </row>
    <row r="45" spans="1:6">
      <c r="A45" s="498" t="s">
        <v>1163</v>
      </c>
      <c r="B45" s="498" t="s">
        <v>867</v>
      </c>
      <c r="C45" s="890" t="s">
        <v>225</v>
      </c>
      <c r="D45" s="890" t="s">
        <v>27</v>
      </c>
      <c r="E45" s="890"/>
      <c r="F45" s="1400"/>
    </row>
    <row r="46" spans="1:6">
      <c r="A46" s="498" t="s">
        <v>1163</v>
      </c>
      <c r="B46" s="498" t="s">
        <v>589</v>
      </c>
      <c r="C46" s="890" t="s">
        <v>593</v>
      </c>
      <c r="D46" s="890" t="s">
        <v>27</v>
      </c>
      <c r="E46" s="890"/>
      <c r="F46" s="1400"/>
    </row>
    <row r="47" spans="1:6">
      <c r="A47" s="498" t="s">
        <v>1163</v>
      </c>
      <c r="B47" s="498" t="s">
        <v>598</v>
      </c>
      <c r="C47" s="890" t="s">
        <v>593</v>
      </c>
      <c r="D47" s="890" t="s">
        <v>27</v>
      </c>
      <c r="E47" s="890"/>
      <c r="F47" s="1400"/>
    </row>
    <row r="48" spans="1:6">
      <c r="A48" s="498" t="s">
        <v>1163</v>
      </c>
      <c r="B48" s="498" t="s">
        <v>606</v>
      </c>
      <c r="C48" s="890" t="s">
        <v>43</v>
      </c>
      <c r="D48" s="890" t="s">
        <v>27</v>
      </c>
      <c r="E48" s="890"/>
      <c r="F48" s="1400"/>
    </row>
    <row r="49" spans="1:6">
      <c r="A49" s="498" t="s">
        <v>1163</v>
      </c>
      <c r="B49" s="1372" t="s">
        <v>773</v>
      </c>
      <c r="C49" s="1370" t="s">
        <v>43</v>
      </c>
      <c r="D49" s="1370" t="s">
        <v>38</v>
      </c>
      <c r="E49" s="1370" t="s">
        <v>27</v>
      </c>
      <c r="F49" s="1400" t="s">
        <v>1513</v>
      </c>
    </row>
    <row r="50" spans="1:6">
      <c r="A50" s="498" t="s">
        <v>1163</v>
      </c>
      <c r="B50" s="498" t="s">
        <v>609</v>
      </c>
      <c r="C50" s="890" t="s">
        <v>43</v>
      </c>
      <c r="D50" s="890" t="s">
        <v>27</v>
      </c>
      <c r="E50" s="890"/>
      <c r="F50" s="1400"/>
    </row>
    <row r="51" spans="1:6">
      <c r="A51" s="498" t="s">
        <v>1163</v>
      </c>
      <c r="B51" s="498" t="s">
        <v>615</v>
      </c>
      <c r="C51" s="890" t="s">
        <v>43</v>
      </c>
      <c r="D51" s="890" t="s">
        <v>27</v>
      </c>
      <c r="E51" s="890"/>
      <c r="F51" s="1400"/>
    </row>
    <row r="52" spans="1:6">
      <c r="A52" s="498" t="s">
        <v>1163</v>
      </c>
      <c r="B52" s="498" t="s">
        <v>619</v>
      </c>
      <c r="C52" s="890" t="s">
        <v>43</v>
      </c>
      <c r="D52" s="890" t="s">
        <v>27</v>
      </c>
      <c r="E52" s="890"/>
      <c r="F52" s="1400"/>
    </row>
    <row r="53" spans="1:6">
      <c r="A53" s="498" t="s">
        <v>1163</v>
      </c>
      <c r="B53" s="498" t="s">
        <v>626</v>
      </c>
      <c r="C53" s="890" t="s">
        <v>43</v>
      </c>
      <c r="D53" s="890" t="s">
        <v>27</v>
      </c>
      <c r="E53" s="890"/>
      <c r="F53" s="1400"/>
    </row>
    <row r="54" spans="1:6">
      <c r="A54" s="498" t="s">
        <v>1163</v>
      </c>
      <c r="B54" s="498" t="s">
        <v>630</v>
      </c>
      <c r="C54" s="890" t="s">
        <v>343</v>
      </c>
      <c r="D54" s="890" t="s">
        <v>27</v>
      </c>
      <c r="E54" s="890"/>
      <c r="F54" s="1400"/>
    </row>
    <row r="55" spans="1:6">
      <c r="A55" s="498" t="s">
        <v>1163</v>
      </c>
      <c r="B55" s="498" t="s">
        <v>779</v>
      </c>
      <c r="C55" s="890" t="s">
        <v>343</v>
      </c>
      <c r="D55" s="890" t="s">
        <v>27</v>
      </c>
      <c r="E55" s="890"/>
      <c r="F55" s="1400"/>
    </row>
    <row r="56" spans="1:6">
      <c r="A56" s="498" t="s">
        <v>1163</v>
      </c>
      <c r="B56" s="497" t="s">
        <v>1390</v>
      </c>
      <c r="C56" s="1370" t="s">
        <v>343</v>
      </c>
      <c r="D56" s="1370" t="s">
        <v>27</v>
      </c>
      <c r="E56" s="1370"/>
      <c r="F56" s="1400" t="s">
        <v>1506</v>
      </c>
    </row>
    <row r="57" spans="1:6" ht="23.25" customHeight="1">
      <c r="A57" s="498" t="s">
        <v>1163</v>
      </c>
      <c r="B57" s="1402" t="s">
        <v>649</v>
      </c>
      <c r="C57" s="890" t="s">
        <v>387</v>
      </c>
      <c r="D57" s="890" t="s">
        <v>27</v>
      </c>
      <c r="E57" s="890"/>
      <c r="F57" s="1400"/>
    </row>
    <row r="58" spans="1:6">
      <c r="A58" s="498" t="s">
        <v>1163</v>
      </c>
      <c r="B58" s="498" t="s">
        <v>656</v>
      </c>
      <c r="C58" s="890" t="s">
        <v>387</v>
      </c>
      <c r="D58" s="890" t="s">
        <v>27</v>
      </c>
      <c r="E58" s="890"/>
      <c r="F58" s="1400"/>
    </row>
    <row r="59" spans="1:6">
      <c r="A59" s="498" t="s">
        <v>1163</v>
      </c>
      <c r="B59" s="498" t="s">
        <v>637</v>
      </c>
      <c r="C59" s="890" t="s">
        <v>387</v>
      </c>
      <c r="D59" s="890" t="s">
        <v>27</v>
      </c>
      <c r="E59" s="890"/>
      <c r="F59" s="1400"/>
    </row>
    <row r="60" spans="1:6">
      <c r="A60" s="498" t="s">
        <v>1163</v>
      </c>
      <c r="B60" s="498" t="s">
        <v>643</v>
      </c>
      <c r="C60" s="890" t="s">
        <v>387</v>
      </c>
      <c r="D60" s="890" t="s">
        <v>27</v>
      </c>
      <c r="E60" s="890"/>
      <c r="F60" s="1400"/>
    </row>
    <row r="61" spans="1:6">
      <c r="A61" s="498" t="s">
        <v>1163</v>
      </c>
      <c r="B61" s="498" t="s">
        <v>662</v>
      </c>
      <c r="C61" s="890" t="s">
        <v>387</v>
      </c>
      <c r="D61" s="890" t="s">
        <v>27</v>
      </c>
      <c r="E61" s="890"/>
      <c r="F61" s="1400"/>
    </row>
    <row r="62" spans="1:6">
      <c r="A62" s="498" t="s">
        <v>1163</v>
      </c>
      <c r="B62" s="498" t="s">
        <v>669</v>
      </c>
      <c r="C62" s="890" t="s">
        <v>387</v>
      </c>
      <c r="D62" s="890" t="s">
        <v>27</v>
      </c>
      <c r="E62" s="890"/>
      <c r="F62" s="1400"/>
    </row>
    <row r="63" spans="1:6">
      <c r="A63" s="498" t="s">
        <v>1163</v>
      </c>
      <c r="B63" s="498" t="s">
        <v>674</v>
      </c>
      <c r="C63" s="890" t="s">
        <v>387</v>
      </c>
      <c r="D63" s="890" t="s">
        <v>27</v>
      </c>
      <c r="E63" s="890"/>
      <c r="F63" s="1400"/>
    </row>
    <row r="64" spans="1:6">
      <c r="A64" s="498" t="s">
        <v>1163</v>
      </c>
      <c r="B64" s="498" t="s">
        <v>849</v>
      </c>
      <c r="C64" s="890" t="s">
        <v>387</v>
      </c>
      <c r="D64" s="890" t="s">
        <v>27</v>
      </c>
      <c r="E64" s="890"/>
      <c r="F64" s="1400"/>
    </row>
    <row r="65" spans="1:6">
      <c r="A65" s="498" t="s">
        <v>1163</v>
      </c>
      <c r="B65" s="498" t="s">
        <v>679</v>
      </c>
      <c r="C65" s="890" t="s">
        <v>681</v>
      </c>
      <c r="D65" s="890" t="s">
        <v>27</v>
      </c>
      <c r="E65" s="890"/>
      <c r="F65" s="1400"/>
    </row>
    <row r="66" spans="1:6">
      <c r="A66" s="498" t="s">
        <v>1163</v>
      </c>
      <c r="B66" s="498" t="s">
        <v>687</v>
      </c>
      <c r="C66" s="890" t="s">
        <v>681</v>
      </c>
      <c r="D66" s="890" t="s">
        <v>27</v>
      </c>
      <c r="E66" s="890"/>
      <c r="F66" s="1400"/>
    </row>
    <row r="67" spans="1:6">
      <c r="A67" s="498" t="s">
        <v>1163</v>
      </c>
      <c r="B67" s="498" t="s">
        <v>693</v>
      </c>
      <c r="C67" s="890" t="s">
        <v>681</v>
      </c>
      <c r="D67" s="890" t="s">
        <v>27</v>
      </c>
      <c r="E67" s="890"/>
      <c r="F67" s="1400"/>
    </row>
    <row r="68" spans="1:6">
      <c r="A68" s="498" t="s">
        <v>1163</v>
      </c>
      <c r="B68" s="498" t="s">
        <v>698</v>
      </c>
      <c r="C68" s="890" t="s">
        <v>251</v>
      </c>
      <c r="D68" s="890" t="s">
        <v>27</v>
      </c>
      <c r="E68" s="890"/>
      <c r="F68" s="1400"/>
    </row>
    <row r="69" spans="1:6">
      <c r="A69" s="498" t="s">
        <v>1163</v>
      </c>
      <c r="B69" s="498" t="s">
        <v>703</v>
      </c>
      <c r="C69" s="890" t="s">
        <v>251</v>
      </c>
      <c r="D69" s="890" t="s">
        <v>27</v>
      </c>
      <c r="E69" s="890"/>
      <c r="F69" s="1400"/>
    </row>
    <row r="70" spans="1:6">
      <c r="A70" s="498" t="s">
        <v>1163</v>
      </c>
      <c r="B70" s="498" t="s">
        <v>1311</v>
      </c>
      <c r="C70" s="890" t="s">
        <v>251</v>
      </c>
      <c r="D70" s="890" t="s">
        <v>27</v>
      </c>
      <c r="E70" s="890"/>
      <c r="F70" s="1400"/>
    </row>
    <row r="71" spans="1:6">
      <c r="A71" s="498" t="s">
        <v>1163</v>
      </c>
      <c r="B71" s="498" t="s">
        <v>714</v>
      </c>
      <c r="C71" s="890" t="s">
        <v>251</v>
      </c>
      <c r="D71" s="890" t="s">
        <v>27</v>
      </c>
      <c r="E71" s="890"/>
      <c r="F71" s="1400"/>
    </row>
    <row r="72" spans="1:6">
      <c r="A72" s="498" t="s">
        <v>1163</v>
      </c>
      <c r="B72" s="498" t="s">
        <v>1291</v>
      </c>
      <c r="C72" s="890" t="s">
        <v>251</v>
      </c>
      <c r="D72" s="890" t="s">
        <v>27</v>
      </c>
      <c r="E72" s="890"/>
      <c r="F72" s="1400"/>
    </row>
    <row r="73" spans="1:6">
      <c r="A73" s="498" t="s">
        <v>1163</v>
      </c>
      <c r="B73" s="498" t="s">
        <v>725</v>
      </c>
      <c r="C73" s="890" t="s">
        <v>251</v>
      </c>
      <c r="D73" s="890" t="s">
        <v>27</v>
      </c>
      <c r="E73" s="890"/>
      <c r="F73" s="1400"/>
    </row>
    <row r="74" spans="1:6">
      <c r="A74" s="498" t="s">
        <v>1163</v>
      </c>
      <c r="B74" s="498" t="s">
        <v>1286</v>
      </c>
      <c r="C74" s="890" t="s">
        <v>251</v>
      </c>
      <c r="D74" s="890" t="s">
        <v>27</v>
      </c>
      <c r="E74" s="890"/>
      <c r="F74" s="1400"/>
    </row>
    <row r="75" spans="1:6">
      <c r="A75" s="498" t="s">
        <v>1163</v>
      </c>
      <c r="B75" s="1369" t="s">
        <v>796</v>
      </c>
      <c r="C75" s="1370" t="s">
        <v>251</v>
      </c>
      <c r="D75" s="1370" t="s">
        <v>38</v>
      </c>
      <c r="E75" s="1370" t="s">
        <v>27</v>
      </c>
      <c r="F75" s="1400" t="s">
        <v>1506</v>
      </c>
    </row>
    <row r="76" spans="1:6">
      <c r="A76" s="498" t="s">
        <v>1163</v>
      </c>
      <c r="B76" s="498" t="s">
        <v>788</v>
      </c>
      <c r="C76" s="890" t="s">
        <v>251</v>
      </c>
      <c r="D76" s="890" t="s">
        <v>27</v>
      </c>
      <c r="E76" s="890"/>
      <c r="F76" s="1400"/>
    </row>
    <row r="77" spans="1:6">
      <c r="A77" s="499" t="s">
        <v>1163</v>
      </c>
      <c r="B77" s="498" t="s">
        <v>1285</v>
      </c>
      <c r="C77" s="890" t="s">
        <v>251</v>
      </c>
      <c r="D77" s="890" t="s">
        <v>27</v>
      </c>
      <c r="E77" s="890"/>
      <c r="F77" s="1400"/>
    </row>
    <row r="78" spans="1:6">
      <c r="A78" s="498" t="s">
        <v>1163</v>
      </c>
      <c r="B78" s="498" t="s">
        <v>733</v>
      </c>
      <c r="C78" s="890" t="s">
        <v>121</v>
      </c>
      <c r="D78" s="890" t="s">
        <v>27</v>
      </c>
      <c r="E78" s="890"/>
      <c r="F78" s="1400"/>
    </row>
    <row r="79" spans="1:6">
      <c r="A79" s="498" t="s">
        <v>1163</v>
      </c>
      <c r="B79" s="498" t="s">
        <v>792</v>
      </c>
      <c r="C79" s="890" t="s">
        <v>121</v>
      </c>
      <c r="D79" s="890" t="s">
        <v>27</v>
      </c>
      <c r="E79" s="890"/>
      <c r="F79" s="1400"/>
    </row>
    <row r="80" spans="1:6">
      <c r="A80" s="498" t="s">
        <v>1163</v>
      </c>
      <c r="B80" s="1374" t="s">
        <v>1318</v>
      </c>
      <c r="C80" s="1373" t="s">
        <v>148</v>
      </c>
      <c r="D80" s="890" t="s">
        <v>27</v>
      </c>
      <c r="E80" s="890"/>
      <c r="F80" s="1400"/>
    </row>
    <row r="81" spans="1:6">
      <c r="A81" s="498" t="s">
        <v>1163</v>
      </c>
      <c r="B81" s="498" t="s">
        <v>743</v>
      </c>
      <c r="C81" s="890" t="s">
        <v>745</v>
      </c>
      <c r="D81" s="890" t="s">
        <v>27</v>
      </c>
      <c r="E81" s="890"/>
      <c r="F81" s="1400"/>
    </row>
    <row r="82" spans="1:6">
      <c r="A82" s="891" t="s">
        <v>158</v>
      </c>
      <c r="B82" s="497" t="s">
        <v>940</v>
      </c>
      <c r="C82" s="1370" t="s">
        <v>130</v>
      </c>
      <c r="D82" s="1370" t="s">
        <v>38</v>
      </c>
      <c r="E82" s="1370" t="s">
        <v>27</v>
      </c>
      <c r="F82" s="1400" t="s">
        <v>1512</v>
      </c>
    </row>
    <row r="83" spans="1:6">
      <c r="A83" s="891" t="s">
        <v>158</v>
      </c>
      <c r="B83" s="891" t="s">
        <v>880</v>
      </c>
      <c r="C83" s="892" t="s">
        <v>50</v>
      </c>
      <c r="D83" s="892" t="s">
        <v>27</v>
      </c>
      <c r="E83" s="892"/>
      <c r="F83" s="1400"/>
    </row>
    <row r="84" spans="1:6">
      <c r="A84" s="891" t="s">
        <v>158</v>
      </c>
      <c r="B84" s="891" t="s">
        <v>887</v>
      </c>
      <c r="C84" s="892" t="s">
        <v>50</v>
      </c>
      <c r="D84" s="892" t="s">
        <v>27</v>
      </c>
      <c r="E84" s="892"/>
      <c r="F84" s="1400"/>
    </row>
    <row r="85" spans="1:6">
      <c r="A85" s="891" t="s">
        <v>158</v>
      </c>
      <c r="B85" s="891" t="s">
        <v>895</v>
      </c>
      <c r="C85" s="892" t="s">
        <v>50</v>
      </c>
      <c r="D85" s="892" t="s">
        <v>27</v>
      </c>
      <c r="E85" s="892"/>
      <c r="F85" s="1400"/>
    </row>
    <row r="86" spans="1:6">
      <c r="A86" s="891" t="s">
        <v>158</v>
      </c>
      <c r="B86" s="891" t="s">
        <v>903</v>
      </c>
      <c r="C86" s="892" t="s">
        <v>170</v>
      </c>
      <c r="D86" s="892" t="s">
        <v>27</v>
      </c>
      <c r="E86" s="892"/>
      <c r="F86" s="1400"/>
    </row>
    <row r="87" spans="1:6">
      <c r="A87" s="891" t="s">
        <v>158</v>
      </c>
      <c r="B87" s="891" t="s">
        <v>1192</v>
      </c>
      <c r="C87" s="892" t="s">
        <v>966</v>
      </c>
      <c r="D87" s="892" t="s">
        <v>27</v>
      </c>
      <c r="E87" s="892"/>
      <c r="F87" s="1400"/>
    </row>
    <row r="88" spans="1:6">
      <c r="A88" s="891" t="s">
        <v>158</v>
      </c>
      <c r="B88" s="891" t="s">
        <v>948</v>
      </c>
      <c r="C88" s="892" t="s">
        <v>175</v>
      </c>
      <c r="D88" s="892" t="s">
        <v>27</v>
      </c>
      <c r="E88" s="892"/>
      <c r="F88" s="1400"/>
    </row>
    <row r="89" spans="1:6">
      <c r="A89" s="891" t="s">
        <v>158</v>
      </c>
      <c r="B89" s="497" t="s">
        <v>1270</v>
      </c>
      <c r="C89" s="1370" t="s">
        <v>1267</v>
      </c>
      <c r="D89" s="1370" t="s">
        <v>27</v>
      </c>
      <c r="E89" s="1370"/>
      <c r="F89" s="1400" t="s">
        <v>1506</v>
      </c>
    </row>
    <row r="90" spans="1:6">
      <c r="A90" s="891" t="s">
        <v>158</v>
      </c>
      <c r="B90" s="891" t="s">
        <v>923</v>
      </c>
      <c r="C90" s="892" t="s">
        <v>225</v>
      </c>
      <c r="D90" s="892" t="s">
        <v>27</v>
      </c>
      <c r="E90" s="892"/>
      <c r="F90" s="1400"/>
    </row>
    <row r="91" spans="1:6">
      <c r="A91" s="891" t="s">
        <v>158</v>
      </c>
      <c r="B91" s="891" t="s">
        <v>910</v>
      </c>
      <c r="C91" s="892" t="s">
        <v>43</v>
      </c>
      <c r="D91" s="892" t="s">
        <v>27</v>
      </c>
      <c r="E91" s="892"/>
      <c r="F91" s="1400"/>
    </row>
    <row r="92" spans="1:6">
      <c r="A92" s="891" t="s">
        <v>158</v>
      </c>
      <c r="B92" s="891" t="s">
        <v>917</v>
      </c>
      <c r="C92" s="892" t="s">
        <v>251</v>
      </c>
      <c r="D92" s="892" t="s">
        <v>27</v>
      </c>
      <c r="E92" s="892"/>
      <c r="F92" s="1400"/>
    </row>
    <row r="93" spans="1:6">
      <c r="A93" s="891" t="s">
        <v>158</v>
      </c>
      <c r="B93" s="891" t="s">
        <v>1265</v>
      </c>
      <c r="C93" s="892" t="s">
        <v>121</v>
      </c>
      <c r="D93" s="892" t="s">
        <v>27</v>
      </c>
      <c r="E93" s="892"/>
      <c r="F93" s="1400"/>
    </row>
    <row r="94" spans="1:6">
      <c r="A94" s="891" t="s">
        <v>158</v>
      </c>
      <c r="B94" s="891" t="s">
        <v>933</v>
      </c>
      <c r="C94" s="892" t="s">
        <v>148</v>
      </c>
      <c r="D94" s="892" t="s">
        <v>27</v>
      </c>
      <c r="E94" s="892"/>
      <c r="F94" s="1400"/>
    </row>
    <row r="95" spans="1:6" ht="15.75">
      <c r="A95" s="1"/>
      <c r="B95" s="469"/>
      <c r="C95" s="1403" t="s">
        <v>1517</v>
      </c>
      <c r="D95" s="1"/>
      <c r="E95" s="833"/>
    </row>
    <row r="96" spans="1:6" ht="15.75">
      <c r="A96" s="271">
        <f>COUNTIF(A5:A94,"*")</f>
        <v>90</v>
      </c>
      <c r="B96" s="500" t="s">
        <v>1515</v>
      </c>
      <c r="C96" s="1401" t="s">
        <v>1509</v>
      </c>
      <c r="D96" s="1399"/>
      <c r="F96" s="469">
        <v>6</v>
      </c>
    </row>
    <row r="97" spans="1:6">
      <c r="A97" s="1">
        <f>COUNTIF(A5:A94,"Farm &amp; Ag")</f>
        <v>11</v>
      </c>
      <c r="B97" s="501" t="s">
        <v>183</v>
      </c>
      <c r="C97" s="1401" t="s">
        <v>1507</v>
      </c>
      <c r="D97" s="1399"/>
      <c r="F97" s="469">
        <v>9</v>
      </c>
    </row>
    <row r="98" spans="1:6">
      <c r="A98" s="1">
        <f>COUNTIF(A5:A94,"Food waste")</f>
        <v>7</v>
      </c>
      <c r="B98" s="501" t="s">
        <v>334</v>
      </c>
      <c r="C98" s="1401"/>
      <c r="D98" s="1399"/>
      <c r="F98" s="469"/>
    </row>
    <row r="99" spans="1:6">
      <c r="A99" s="1">
        <f>COUNTIF(A5:A94,"Landfill")</f>
        <v>59</v>
      </c>
      <c r="B99" s="501" t="s">
        <v>1163</v>
      </c>
      <c r="C99" s="1401" t="s">
        <v>1508</v>
      </c>
      <c r="D99" s="1399"/>
      <c r="F99" s="469">
        <v>15</v>
      </c>
    </row>
    <row r="100" spans="1:6">
      <c r="A100" s="1">
        <f>COUNTIF(A5:A94,"WWTP")</f>
        <v>13</v>
      </c>
      <c r="B100" s="502" t="s">
        <v>158</v>
      </c>
      <c r="C100" s="1401" t="s">
        <v>1519</v>
      </c>
      <c r="D100" s="1399"/>
      <c r="F100" s="469">
        <v>1</v>
      </c>
    </row>
    <row r="101" spans="1:6">
      <c r="C101" s="1401" t="s">
        <v>1514</v>
      </c>
      <c r="D101" s="1399"/>
      <c r="F101" s="469">
        <v>8</v>
      </c>
    </row>
    <row r="102" spans="1:6" ht="15.75">
      <c r="A102" s="1406">
        <v>83</v>
      </c>
      <c r="B102" s="500" t="s">
        <v>1516</v>
      </c>
      <c r="C102" s="1399"/>
      <c r="D102" s="1399"/>
      <c r="F102" s="469">
        <f>SUM(F96:F101)</f>
        <v>39</v>
      </c>
    </row>
    <row r="103" spans="1:6">
      <c r="A103">
        <v>9</v>
      </c>
      <c r="B103" s="501" t="s">
        <v>183</v>
      </c>
    </row>
    <row r="104" spans="1:6">
      <c r="A104">
        <v>7</v>
      </c>
      <c r="B104" s="501" t="s">
        <v>334</v>
      </c>
    </row>
    <row r="105" spans="1:6">
      <c r="A105">
        <v>55</v>
      </c>
      <c r="B105" s="501" t="s">
        <v>1163</v>
      </c>
    </row>
    <row r="106" spans="1:6">
      <c r="A106">
        <v>12</v>
      </c>
      <c r="B106" s="502" t="s">
        <v>158</v>
      </c>
    </row>
    <row r="108" spans="1:6" ht="15.75">
      <c r="A108" s="503">
        <v>60</v>
      </c>
      <c r="B108" s="500" t="s">
        <v>1520</v>
      </c>
    </row>
    <row r="109" spans="1:6">
      <c r="A109">
        <v>5</v>
      </c>
      <c r="B109" s="501" t="s">
        <v>183</v>
      </c>
    </row>
    <row r="110" spans="1:6">
      <c r="A110">
        <v>6</v>
      </c>
      <c r="B110" s="501" t="s">
        <v>334</v>
      </c>
    </row>
    <row r="111" spans="1:6">
      <c r="A111">
        <v>42</v>
      </c>
      <c r="B111" s="501" t="s">
        <v>1163</v>
      </c>
    </row>
    <row r="112" spans="1:6">
      <c r="A112">
        <v>7</v>
      </c>
      <c r="B112" s="502" t="s">
        <v>158</v>
      </c>
    </row>
  </sheetData>
  <sortState ref="A5:D85">
    <sortCondition ref="C74:C85"/>
    <sortCondition ref="B74:B85"/>
  </sortState>
  <pageMargins left="0.2" right="0" top="0.25" bottom="0.5" header="0.3" footer="0.3"/>
  <pageSetup scale="6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B32" sqref="B32"/>
    </sheetView>
  </sheetViews>
  <sheetFormatPr defaultRowHeight="15"/>
  <cols>
    <col min="1" max="1" width="31.42578125" customWidth="1"/>
    <col min="2" max="2" width="170.5703125" bestFit="1" customWidth="1"/>
  </cols>
  <sheetData>
    <row r="1" spans="1:14">
      <c r="A1" s="468" t="s">
        <v>1044</v>
      </c>
      <c r="B1" s="469"/>
      <c r="C1" s="1"/>
      <c r="D1" s="1"/>
      <c r="E1" s="1"/>
      <c r="F1" s="1"/>
      <c r="G1" s="1"/>
      <c r="H1" s="1"/>
      <c r="I1" s="1"/>
      <c r="J1" s="1"/>
      <c r="K1" s="1"/>
      <c r="L1" s="1"/>
      <c r="M1" s="1"/>
      <c r="N1" s="1"/>
    </row>
    <row r="2" spans="1:14">
      <c r="A2" s="468" t="s">
        <v>1443</v>
      </c>
      <c r="B2" s="470" t="s">
        <v>1045</v>
      </c>
      <c r="C2" s="1"/>
      <c r="D2" s="1"/>
      <c r="E2" s="1"/>
      <c r="F2" s="1"/>
      <c r="G2" s="1"/>
      <c r="H2" s="1"/>
      <c r="I2" s="1"/>
      <c r="J2" s="1"/>
      <c r="K2" s="1"/>
      <c r="L2" s="1"/>
      <c r="M2" s="1"/>
      <c r="N2" s="1"/>
    </row>
    <row r="3" spans="1:14">
      <c r="A3" s="468" t="s">
        <v>1444</v>
      </c>
      <c r="B3" s="471" t="s">
        <v>1046</v>
      </c>
      <c r="C3" s="1"/>
      <c r="D3" s="1"/>
      <c r="E3" s="1"/>
      <c r="F3" s="1"/>
      <c r="G3" s="1"/>
      <c r="H3" s="1"/>
      <c r="I3" s="1"/>
      <c r="J3" s="1"/>
      <c r="K3" s="1"/>
      <c r="L3" s="1"/>
      <c r="M3" s="1"/>
      <c r="N3" s="1"/>
    </row>
    <row r="4" spans="1:14">
      <c r="A4" s="468" t="s">
        <v>1445</v>
      </c>
      <c r="B4" s="472" t="s">
        <v>1047</v>
      </c>
      <c r="C4" s="1"/>
      <c r="D4" s="1"/>
      <c r="E4" s="1"/>
      <c r="F4" s="1"/>
      <c r="G4" s="1"/>
      <c r="H4" s="1"/>
      <c r="I4" s="1"/>
      <c r="J4" s="1"/>
      <c r="K4" s="1"/>
      <c r="L4" s="1"/>
      <c r="M4" s="1"/>
      <c r="N4" s="1"/>
    </row>
    <row r="5" spans="1:14">
      <c r="A5" s="468" t="s">
        <v>1446</v>
      </c>
      <c r="B5" s="472" t="s">
        <v>1048</v>
      </c>
      <c r="C5" s="1"/>
      <c r="D5" s="1"/>
      <c r="E5" s="1"/>
      <c r="F5" s="1"/>
      <c r="G5" s="1"/>
      <c r="H5" s="1"/>
      <c r="I5" s="1"/>
      <c r="J5" s="1"/>
      <c r="K5" s="1"/>
      <c r="L5" s="1"/>
      <c r="M5" s="1"/>
      <c r="N5" s="1"/>
    </row>
    <row r="6" spans="1:14">
      <c r="A6" s="468" t="s">
        <v>1447</v>
      </c>
      <c r="B6" s="472" t="s">
        <v>1049</v>
      </c>
      <c r="C6" s="1"/>
      <c r="D6" s="1"/>
      <c r="E6" s="1"/>
      <c r="F6" s="1"/>
      <c r="G6" s="1"/>
      <c r="H6" s="1"/>
      <c r="I6" s="1"/>
      <c r="J6" s="1"/>
      <c r="K6" s="1"/>
      <c r="L6" s="1"/>
      <c r="M6" s="1"/>
      <c r="N6" s="1"/>
    </row>
    <row r="7" spans="1:14">
      <c r="A7" s="469"/>
      <c r="B7" s="469"/>
      <c r="C7" s="1"/>
      <c r="D7" s="1"/>
      <c r="E7" s="1"/>
      <c r="F7" s="1"/>
      <c r="G7" s="1"/>
      <c r="H7" s="1"/>
      <c r="I7" s="1"/>
      <c r="J7" s="1"/>
      <c r="K7" s="1"/>
      <c r="L7" s="1"/>
      <c r="M7" s="1"/>
      <c r="N7" s="1"/>
    </row>
    <row r="8" spans="1:14">
      <c r="A8" s="468" t="s">
        <v>1050</v>
      </c>
      <c r="B8" s="469"/>
      <c r="C8" s="1"/>
      <c r="D8" s="1"/>
      <c r="E8" s="1"/>
      <c r="F8" s="1"/>
      <c r="G8" s="1"/>
      <c r="H8" s="1"/>
      <c r="I8" s="1"/>
      <c r="J8" s="1"/>
      <c r="K8" s="1"/>
      <c r="L8" s="1"/>
      <c r="M8" s="1"/>
      <c r="N8" s="1"/>
    </row>
    <row r="9" spans="1:14">
      <c r="A9" s="473" t="s">
        <v>31</v>
      </c>
      <c r="B9" s="441" t="s">
        <v>1421</v>
      </c>
      <c r="C9" s="474"/>
      <c r="D9" s="1"/>
      <c r="E9" s="1"/>
      <c r="F9" s="1"/>
      <c r="G9" s="1"/>
      <c r="H9" s="1"/>
      <c r="I9" s="1"/>
      <c r="J9" s="1"/>
      <c r="K9" s="1"/>
      <c r="L9" s="1"/>
      <c r="M9" s="1"/>
      <c r="N9" s="1"/>
    </row>
    <row r="10" spans="1:14">
      <c r="A10" s="473" t="s">
        <v>96</v>
      </c>
      <c r="B10" s="475" t="s">
        <v>1422</v>
      </c>
      <c r="C10" s="469"/>
      <c r="D10" s="1"/>
      <c r="E10" s="1"/>
      <c r="F10" s="1"/>
      <c r="G10" s="1"/>
      <c r="H10" s="1"/>
      <c r="I10" s="1"/>
      <c r="J10" s="1"/>
      <c r="K10" s="1"/>
      <c r="L10" s="1"/>
      <c r="M10" s="1"/>
      <c r="N10" s="1"/>
    </row>
    <row r="11" spans="1:14">
      <c r="A11" s="473" t="s">
        <v>194</v>
      </c>
      <c r="B11" s="469" t="s">
        <v>1423</v>
      </c>
      <c r="C11" s="469"/>
      <c r="D11" s="1"/>
      <c r="E11" s="1"/>
      <c r="F11" s="1"/>
      <c r="G11" s="1"/>
      <c r="H11" s="1"/>
      <c r="I11" s="1"/>
      <c r="J11" s="1"/>
      <c r="K11" s="1"/>
      <c r="L11" s="1"/>
      <c r="M11" s="1"/>
      <c r="N11" s="1"/>
    </row>
    <row r="12" spans="1:14" s="832" customFormat="1">
      <c r="A12" s="473" t="s">
        <v>1440</v>
      </c>
      <c r="B12" s="469" t="s">
        <v>1424</v>
      </c>
      <c r="C12" s="469"/>
      <c r="D12" s="833"/>
      <c r="E12" s="833"/>
      <c r="F12" s="833"/>
      <c r="G12" s="833"/>
      <c r="H12" s="833"/>
      <c r="I12" s="833"/>
      <c r="J12" s="833"/>
      <c r="K12" s="833"/>
      <c r="L12" s="833"/>
      <c r="M12" s="833"/>
      <c r="N12" s="833"/>
    </row>
    <row r="13" spans="1:14">
      <c r="A13" s="473" t="s">
        <v>169</v>
      </c>
      <c r="B13" s="469" t="s">
        <v>1425</v>
      </c>
      <c r="C13" s="469"/>
      <c r="D13" s="1"/>
      <c r="E13" s="1"/>
      <c r="F13" s="1"/>
      <c r="G13" s="1"/>
      <c r="H13" s="1"/>
      <c r="I13" s="1"/>
      <c r="J13" s="1"/>
      <c r="K13" s="1"/>
      <c r="L13" s="1"/>
      <c r="M13" s="1"/>
      <c r="N13" s="1"/>
    </row>
    <row r="14" spans="1:14">
      <c r="A14" s="473" t="s">
        <v>190</v>
      </c>
      <c r="B14" s="472" t="s">
        <v>1426</v>
      </c>
      <c r="C14" s="469"/>
      <c r="D14" s="1"/>
      <c r="E14" s="1"/>
      <c r="F14" s="1"/>
      <c r="G14" s="1"/>
      <c r="H14" s="1"/>
      <c r="I14" s="1"/>
      <c r="J14" s="1"/>
      <c r="K14" s="1"/>
      <c r="L14" s="1"/>
      <c r="M14" s="1"/>
      <c r="N14" s="1"/>
    </row>
    <row r="15" spans="1:14" s="832" customFormat="1">
      <c r="A15" s="473" t="s">
        <v>1441</v>
      </c>
      <c r="B15" s="472" t="s">
        <v>1427</v>
      </c>
      <c r="C15" s="469"/>
      <c r="D15" s="833"/>
      <c r="E15" s="833"/>
      <c r="F15" s="833"/>
      <c r="G15" s="833"/>
      <c r="H15" s="833"/>
      <c r="I15" s="833"/>
      <c r="J15" s="833"/>
      <c r="K15" s="833"/>
      <c r="L15" s="833"/>
      <c r="M15" s="833"/>
      <c r="N15" s="833"/>
    </row>
    <row r="16" spans="1:14">
      <c r="A16" s="473" t="s">
        <v>327</v>
      </c>
      <c r="B16" s="472" t="s">
        <v>1428</v>
      </c>
      <c r="C16" s="469"/>
      <c r="D16" s="1"/>
      <c r="E16" s="1"/>
      <c r="F16" s="1"/>
      <c r="G16" s="1"/>
      <c r="H16" s="1"/>
      <c r="I16" s="1"/>
      <c r="J16" s="1"/>
      <c r="K16" s="1"/>
      <c r="L16" s="1"/>
      <c r="M16" s="1"/>
      <c r="N16" s="1"/>
    </row>
    <row r="17" spans="1:14">
      <c r="A17" s="473" t="s">
        <v>1051</v>
      </c>
      <c r="B17" s="472" t="s">
        <v>1052</v>
      </c>
      <c r="C17" s="469"/>
      <c r="D17" s="1"/>
      <c r="E17" s="1"/>
      <c r="F17" s="1"/>
      <c r="G17" s="1"/>
      <c r="H17" s="1"/>
      <c r="I17" s="1"/>
      <c r="J17" s="1"/>
      <c r="K17" s="1"/>
      <c r="L17" s="1"/>
      <c r="M17" s="1"/>
      <c r="N17" s="1"/>
    </row>
    <row r="18" spans="1:14">
      <c r="A18" s="469"/>
      <c r="B18" s="469"/>
      <c r="C18" s="1"/>
      <c r="D18" s="1"/>
      <c r="E18" s="1"/>
      <c r="F18" s="1"/>
      <c r="G18" s="1"/>
      <c r="H18" s="1"/>
      <c r="I18" s="1"/>
      <c r="J18" s="1"/>
      <c r="K18" s="1"/>
      <c r="L18" s="1"/>
      <c r="M18" s="1"/>
      <c r="N18" s="1"/>
    </row>
    <row r="19" spans="1:14">
      <c r="A19" s="473" t="s">
        <v>1053</v>
      </c>
      <c r="B19" s="472" t="s">
        <v>1455</v>
      </c>
      <c r="C19" s="1"/>
      <c r="D19" s="1"/>
      <c r="E19" s="1"/>
      <c r="F19" s="1"/>
      <c r="G19" s="1"/>
      <c r="H19" s="1"/>
      <c r="I19" s="1"/>
      <c r="J19" s="1"/>
      <c r="K19" s="1"/>
      <c r="L19" s="1"/>
      <c r="M19" s="1"/>
      <c r="N19" s="1"/>
    </row>
    <row r="20" spans="1:14">
      <c r="A20" s="473" t="s">
        <v>1054</v>
      </c>
      <c r="B20" s="472" t="s">
        <v>1055</v>
      </c>
      <c r="C20" s="1"/>
      <c r="D20" s="1"/>
      <c r="E20" s="1"/>
      <c r="F20" s="1"/>
      <c r="G20" s="1"/>
      <c r="H20" s="1"/>
      <c r="I20" s="1"/>
      <c r="J20" s="1"/>
      <c r="K20" s="1"/>
      <c r="L20" s="1"/>
      <c r="M20" s="1"/>
      <c r="N20" s="1"/>
    </row>
    <row r="21" spans="1:14">
      <c r="A21" s="469"/>
      <c r="B21" s="469"/>
      <c r="C21" s="1"/>
      <c r="D21" s="1"/>
      <c r="E21" s="1"/>
      <c r="F21" s="1"/>
      <c r="G21" s="1"/>
      <c r="H21" s="1"/>
      <c r="I21" s="1"/>
      <c r="J21" s="1"/>
      <c r="K21" s="1"/>
      <c r="L21" s="1"/>
      <c r="M21" s="1"/>
      <c r="N21" s="1"/>
    </row>
    <row r="22" spans="1:14">
      <c r="A22" s="473" t="s">
        <v>1056</v>
      </c>
      <c r="B22" s="469"/>
      <c r="C22" s="1"/>
      <c r="D22" s="1"/>
      <c r="E22" s="1"/>
      <c r="F22" s="1"/>
      <c r="G22" s="1"/>
      <c r="H22" s="1"/>
      <c r="I22" s="1"/>
      <c r="J22" s="1"/>
      <c r="K22" s="1"/>
      <c r="L22" s="1"/>
      <c r="M22" s="1"/>
      <c r="N22" s="1"/>
    </row>
    <row r="23" spans="1:14">
      <c r="A23" s="473" t="s">
        <v>27</v>
      </c>
      <c r="B23" s="472" t="s">
        <v>1057</v>
      </c>
      <c r="C23" s="1"/>
      <c r="D23" s="1"/>
      <c r="E23" s="1"/>
      <c r="F23" s="1"/>
      <c r="G23" s="1"/>
      <c r="H23" s="1"/>
      <c r="I23" s="1"/>
      <c r="J23" s="1"/>
      <c r="K23" s="1"/>
      <c r="L23" s="1"/>
      <c r="M23" s="1"/>
      <c r="N23" s="1"/>
    </row>
    <row r="24" spans="1:14">
      <c r="A24" s="473" t="s">
        <v>38</v>
      </c>
      <c r="B24" s="472" t="s">
        <v>1058</v>
      </c>
      <c r="C24" s="1"/>
      <c r="D24" s="1"/>
      <c r="E24" s="1"/>
      <c r="F24" s="1"/>
      <c r="G24" s="1"/>
      <c r="H24" s="1"/>
      <c r="I24" s="1"/>
      <c r="J24" s="1"/>
      <c r="K24" s="1"/>
      <c r="L24" s="1"/>
      <c r="M24" s="1"/>
      <c r="N24"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workbookViewId="0">
      <selection activeCell="C59" sqref="C59"/>
    </sheetView>
  </sheetViews>
  <sheetFormatPr defaultRowHeight="15"/>
  <cols>
    <col min="1" max="1" width="50.140625" bestFit="1" customWidth="1"/>
    <col min="2" max="2" width="108.5703125" bestFit="1" customWidth="1"/>
    <col min="3" max="3" width="45.140625" bestFit="1" customWidth="1"/>
  </cols>
  <sheetData>
    <row r="1" spans="1:17">
      <c r="A1" s="473" t="s">
        <v>1059</v>
      </c>
      <c r="B1" s="1"/>
      <c r="C1" s="1"/>
      <c r="D1" s="1"/>
      <c r="E1" s="1"/>
      <c r="F1" s="1"/>
      <c r="G1" s="1"/>
      <c r="H1" s="1"/>
      <c r="I1" s="1"/>
      <c r="J1" s="1"/>
      <c r="K1" s="1"/>
      <c r="L1" s="1"/>
      <c r="M1" s="1"/>
      <c r="N1" s="1"/>
      <c r="O1" s="1"/>
      <c r="P1" s="1"/>
      <c r="Q1" s="1"/>
    </row>
    <row r="2" spans="1:17">
      <c r="A2" s="1"/>
      <c r="B2" s="1"/>
      <c r="C2" s="1"/>
      <c r="D2" s="1"/>
      <c r="E2" s="1"/>
      <c r="F2" s="1"/>
      <c r="G2" s="1"/>
      <c r="H2" s="1"/>
      <c r="I2" s="1"/>
      <c r="J2" s="1"/>
      <c r="K2" s="1"/>
      <c r="L2" s="1"/>
      <c r="M2" s="1"/>
      <c r="N2" s="1"/>
      <c r="O2" s="1"/>
      <c r="P2" s="1"/>
      <c r="Q2" s="1"/>
    </row>
    <row r="3" spans="1:17">
      <c r="A3" s="476" t="s">
        <v>1060</v>
      </c>
      <c r="B3" s="476" t="s">
        <v>1061</v>
      </c>
      <c r="C3" s="1"/>
      <c r="D3" s="1"/>
      <c r="E3" s="1"/>
      <c r="F3" s="1"/>
      <c r="G3" s="476"/>
      <c r="H3" s="1"/>
      <c r="I3" s="1"/>
      <c r="J3" s="1"/>
      <c r="K3" s="1"/>
      <c r="L3" s="1"/>
      <c r="M3" s="1"/>
      <c r="N3" s="1"/>
      <c r="O3" s="1"/>
      <c r="P3" s="1"/>
      <c r="Q3" s="1"/>
    </row>
    <row r="4" spans="1:17">
      <c r="A4" s="476" t="s">
        <v>1062</v>
      </c>
      <c r="B4" s="476" t="s">
        <v>1063</v>
      </c>
      <c r="C4" s="1"/>
      <c r="D4" s="1"/>
      <c r="E4" s="1"/>
      <c r="F4" s="1"/>
      <c r="G4" s="476"/>
      <c r="H4" s="1"/>
      <c r="I4" s="1"/>
      <c r="J4" s="1"/>
      <c r="K4" s="1"/>
      <c r="L4" s="1"/>
      <c r="M4" s="1"/>
      <c r="N4" s="1"/>
      <c r="O4" s="1"/>
      <c r="P4" s="1"/>
      <c r="Q4" s="1"/>
    </row>
    <row r="5" spans="1:17">
      <c r="A5" s="476" t="s">
        <v>1064</v>
      </c>
      <c r="B5" s="476" t="s">
        <v>1065</v>
      </c>
      <c r="C5" s="1"/>
      <c r="D5" s="1"/>
      <c r="E5" s="1"/>
      <c r="F5" s="1"/>
      <c r="G5" s="476"/>
      <c r="H5" s="1"/>
      <c r="I5" s="1"/>
      <c r="J5" s="1"/>
      <c r="K5" s="1"/>
      <c r="L5" s="1"/>
      <c r="M5" s="1"/>
      <c r="N5" s="1"/>
      <c r="O5" s="1"/>
      <c r="P5" s="1"/>
      <c r="Q5" s="1"/>
    </row>
    <row r="6" spans="1:17">
      <c r="A6" s="476" t="s">
        <v>1066</v>
      </c>
      <c r="B6" s="476" t="s">
        <v>1067</v>
      </c>
      <c r="C6" s="1"/>
      <c r="D6" s="1"/>
      <c r="E6" s="1"/>
      <c r="F6" s="1"/>
      <c r="G6" s="476"/>
      <c r="H6" s="1"/>
      <c r="I6" s="1"/>
      <c r="J6" s="1"/>
      <c r="K6" s="1"/>
      <c r="L6" s="1"/>
      <c r="M6" s="1"/>
      <c r="N6" s="1"/>
      <c r="O6" s="1"/>
      <c r="P6" s="1"/>
      <c r="Q6" s="1"/>
    </row>
    <row r="7" spans="1:17">
      <c r="A7" s="476" t="s">
        <v>1068</v>
      </c>
      <c r="B7" s="476" t="s">
        <v>1069</v>
      </c>
      <c r="C7" s="1"/>
      <c r="D7" s="1"/>
      <c r="E7" s="1"/>
      <c r="F7" s="1"/>
      <c r="G7" s="476"/>
      <c r="H7" s="1"/>
      <c r="I7" s="1"/>
      <c r="J7" s="1"/>
      <c r="K7" s="1"/>
      <c r="L7" s="1"/>
      <c r="M7" s="1"/>
      <c r="N7" s="1"/>
      <c r="O7" s="1"/>
      <c r="P7" s="1"/>
      <c r="Q7" s="1"/>
    </row>
    <row r="8" spans="1:17">
      <c r="A8" s="476" t="s">
        <v>1070</v>
      </c>
      <c r="B8" s="476" t="s">
        <v>1071</v>
      </c>
      <c r="C8" s="1"/>
      <c r="D8" s="1"/>
      <c r="E8" s="1"/>
      <c r="F8" s="1"/>
      <c r="G8" s="476"/>
      <c r="H8" s="1"/>
      <c r="I8" s="1"/>
      <c r="J8" s="1"/>
      <c r="K8" s="1"/>
      <c r="L8" s="1"/>
      <c r="M8" s="1"/>
      <c r="N8" s="1"/>
      <c r="O8" s="1"/>
      <c r="P8" s="1"/>
      <c r="Q8" s="1"/>
    </row>
    <row r="9" spans="1:17">
      <c r="A9" s="476" t="s">
        <v>1072</v>
      </c>
      <c r="B9" s="476" t="s">
        <v>1073</v>
      </c>
      <c r="C9" s="1"/>
      <c r="D9" s="1"/>
      <c r="E9" s="1"/>
      <c r="F9" s="1"/>
      <c r="G9" s="476"/>
      <c r="H9" s="1"/>
      <c r="I9" s="1"/>
      <c r="J9" s="1"/>
      <c r="K9" s="1"/>
      <c r="L9" s="1"/>
      <c r="M9" s="1"/>
      <c r="N9" s="1"/>
      <c r="O9" s="1"/>
      <c r="P9" s="1"/>
      <c r="Q9" s="1"/>
    </row>
    <row r="10" spans="1:17">
      <c r="A10" s="476" t="s">
        <v>1074</v>
      </c>
      <c r="B10" s="476" t="s">
        <v>1075</v>
      </c>
      <c r="C10" s="1"/>
      <c r="D10" s="1"/>
      <c r="E10" s="1"/>
      <c r="F10" s="1"/>
      <c r="G10" s="476"/>
      <c r="H10" s="1"/>
      <c r="I10" s="1"/>
      <c r="J10" s="1"/>
      <c r="K10" s="1"/>
      <c r="L10" s="1"/>
      <c r="M10" s="1"/>
      <c r="N10" s="1"/>
      <c r="O10" s="1"/>
      <c r="P10" s="1"/>
      <c r="Q10" s="1"/>
    </row>
    <row r="11" spans="1:17">
      <c r="A11" s="476" t="s">
        <v>1076</v>
      </c>
      <c r="B11" s="476" t="s">
        <v>1077</v>
      </c>
      <c r="C11" s="1"/>
      <c r="D11" s="1"/>
      <c r="E11" s="1"/>
      <c r="F11" s="1"/>
      <c r="G11" s="476"/>
      <c r="H11" s="1"/>
      <c r="I11" s="1"/>
      <c r="J11" s="1"/>
      <c r="K11" s="1"/>
      <c r="L11" s="1"/>
      <c r="M11" s="1"/>
      <c r="N11" s="1"/>
      <c r="O11" s="1"/>
      <c r="P11" s="1"/>
      <c r="Q11" s="1"/>
    </row>
    <row r="12" spans="1:17">
      <c r="A12" s="476" t="s">
        <v>1078</v>
      </c>
      <c r="B12" s="476" t="s">
        <v>1079</v>
      </c>
      <c r="C12" s="1"/>
      <c r="D12" s="1"/>
      <c r="E12" s="1"/>
      <c r="F12" s="1"/>
      <c r="G12" s="476"/>
      <c r="H12" s="1"/>
      <c r="I12" s="1"/>
      <c r="J12" s="1"/>
      <c r="K12" s="1"/>
      <c r="L12" s="1"/>
      <c r="M12" s="1"/>
      <c r="N12" s="1"/>
      <c r="O12" s="1"/>
      <c r="P12" s="1"/>
      <c r="Q12" s="1"/>
    </row>
    <row r="13" spans="1:17">
      <c r="A13" s="476" t="s">
        <v>1080</v>
      </c>
      <c r="B13" s="476" t="s">
        <v>1081</v>
      </c>
      <c r="C13" s="1"/>
      <c r="D13" s="1"/>
      <c r="E13" s="1"/>
      <c r="F13" s="1"/>
      <c r="G13" s="476"/>
      <c r="H13" s="1"/>
      <c r="I13" s="1"/>
      <c r="J13" s="1"/>
      <c r="K13" s="1"/>
      <c r="L13" s="1"/>
      <c r="M13" s="1"/>
      <c r="N13" s="1"/>
      <c r="O13" s="1"/>
      <c r="P13" s="1"/>
      <c r="Q13" s="1"/>
    </row>
    <row r="14" spans="1:17">
      <c r="A14" s="476" t="s">
        <v>1082</v>
      </c>
      <c r="B14" s="476" t="s">
        <v>1083</v>
      </c>
      <c r="C14" s="1"/>
      <c r="D14" s="1"/>
      <c r="E14" s="1"/>
      <c r="F14" s="1"/>
      <c r="G14" s="476"/>
      <c r="H14" s="1"/>
      <c r="I14" s="1"/>
      <c r="J14" s="1"/>
      <c r="K14" s="1"/>
      <c r="L14" s="1"/>
      <c r="M14" s="1"/>
      <c r="N14" s="1"/>
      <c r="O14" s="1"/>
      <c r="P14" s="1"/>
      <c r="Q14" s="1"/>
    </row>
    <row r="15" spans="1:17">
      <c r="A15" s="476" t="s">
        <v>1084</v>
      </c>
      <c r="B15" s="476" t="s">
        <v>1085</v>
      </c>
      <c r="C15" s="1"/>
      <c r="D15" s="1"/>
      <c r="E15" s="1"/>
      <c r="F15" s="1"/>
      <c r="G15" s="476"/>
      <c r="H15" s="1"/>
      <c r="I15" s="1"/>
      <c r="J15" s="1"/>
      <c r="K15" s="1"/>
      <c r="L15" s="1"/>
      <c r="M15" s="1"/>
      <c r="N15" s="1"/>
      <c r="O15" s="1"/>
      <c r="P15" s="1"/>
      <c r="Q15" s="1"/>
    </row>
    <row r="16" spans="1:17">
      <c r="A16" s="476" t="s">
        <v>1086</v>
      </c>
      <c r="B16" s="476" t="s">
        <v>1314</v>
      </c>
      <c r="C16" s="1"/>
      <c r="D16" s="1"/>
      <c r="E16" s="1"/>
      <c r="F16" s="1"/>
      <c r="G16" s="476"/>
      <c r="H16" s="1"/>
      <c r="I16" s="1"/>
      <c r="J16" s="1"/>
      <c r="K16" s="1"/>
      <c r="L16" s="1"/>
      <c r="M16" s="1"/>
      <c r="N16" s="1"/>
      <c r="O16" s="1"/>
      <c r="P16" s="1"/>
      <c r="Q16" s="1"/>
    </row>
    <row r="17" spans="1:17">
      <c r="A17" s="476" t="s">
        <v>1087</v>
      </c>
      <c r="B17" s="476" t="s">
        <v>1088</v>
      </c>
      <c r="C17" s="1"/>
      <c r="D17" s="1"/>
      <c r="E17" s="1"/>
      <c r="F17" s="1"/>
      <c r="G17" s="476"/>
      <c r="H17" s="1"/>
      <c r="I17" s="1"/>
      <c r="J17" s="1"/>
      <c r="K17" s="1"/>
      <c r="L17" s="1"/>
      <c r="M17" s="1"/>
      <c r="N17" s="1"/>
      <c r="O17" s="1"/>
      <c r="P17" s="1"/>
      <c r="Q17" s="1"/>
    </row>
    <row r="18" spans="1:17">
      <c r="A18" s="476" t="s">
        <v>1089</v>
      </c>
      <c r="B18" s="476" t="s">
        <v>1090</v>
      </c>
      <c r="C18" s="1"/>
      <c r="D18" s="1"/>
      <c r="E18" s="1"/>
      <c r="F18" s="1"/>
      <c r="G18" s="476"/>
      <c r="H18" s="1"/>
      <c r="I18" s="1"/>
      <c r="J18" s="1"/>
      <c r="K18" s="1"/>
      <c r="L18" s="1"/>
      <c r="M18" s="1"/>
      <c r="N18" s="1"/>
      <c r="O18" s="1"/>
      <c r="P18" s="1"/>
      <c r="Q18" s="1"/>
    </row>
    <row r="19" spans="1:17">
      <c r="A19" s="476" t="s">
        <v>1091</v>
      </c>
      <c r="B19" s="476" t="s">
        <v>1092</v>
      </c>
      <c r="C19" s="1"/>
      <c r="D19" s="1"/>
      <c r="E19" s="1"/>
      <c r="F19" s="1"/>
      <c r="G19" s="476"/>
      <c r="H19" s="1"/>
      <c r="I19" s="1"/>
      <c r="J19" s="1"/>
      <c r="K19" s="1"/>
      <c r="L19" s="1"/>
      <c r="M19" s="1"/>
      <c r="N19" s="1"/>
      <c r="O19" s="1"/>
      <c r="P19" s="1"/>
      <c r="Q19" s="1"/>
    </row>
    <row r="20" spans="1:17">
      <c r="A20" s="476" t="s">
        <v>1093</v>
      </c>
      <c r="B20" s="476" t="s">
        <v>1094</v>
      </c>
      <c r="C20" s="1"/>
      <c r="D20" s="1"/>
      <c r="E20" s="1"/>
      <c r="F20" s="1"/>
      <c r="G20" s="476"/>
      <c r="H20" s="1"/>
      <c r="I20" s="1"/>
      <c r="J20" s="1"/>
      <c r="K20" s="1"/>
      <c r="L20" s="1"/>
      <c r="M20" s="1"/>
      <c r="N20" s="1"/>
      <c r="O20" s="1"/>
      <c r="P20" s="1"/>
      <c r="Q20" s="1"/>
    </row>
    <row r="21" spans="1:17">
      <c r="A21" s="476" t="s">
        <v>1095</v>
      </c>
      <c r="B21" s="476" t="s">
        <v>1096</v>
      </c>
      <c r="C21" s="1"/>
      <c r="D21" s="1"/>
      <c r="E21" s="1"/>
      <c r="F21" s="1"/>
      <c r="G21" s="476"/>
      <c r="H21" s="1"/>
      <c r="I21" s="1"/>
      <c r="J21" s="1"/>
      <c r="K21" s="1"/>
      <c r="L21" s="1"/>
      <c r="M21" s="1"/>
      <c r="N21" s="1"/>
      <c r="O21" s="1"/>
      <c r="P21" s="1"/>
      <c r="Q21" s="1"/>
    </row>
    <row r="22" spans="1:17">
      <c r="A22" s="476" t="s">
        <v>1097</v>
      </c>
      <c r="B22" s="476" t="s">
        <v>1098</v>
      </c>
      <c r="C22" s="1"/>
      <c r="D22" s="1"/>
      <c r="E22" s="1"/>
      <c r="F22" s="1"/>
      <c r="G22" s="476"/>
      <c r="H22" s="1"/>
      <c r="I22" s="1"/>
      <c r="J22" s="1"/>
      <c r="K22" s="1"/>
      <c r="L22" s="1"/>
      <c r="M22" s="1"/>
      <c r="N22" s="1"/>
      <c r="O22" s="1"/>
      <c r="P22" s="1"/>
      <c r="Q22" s="1"/>
    </row>
    <row r="23" spans="1:17">
      <c r="A23" s="476" t="s">
        <v>1099</v>
      </c>
      <c r="B23" s="476" t="s">
        <v>1100</v>
      </c>
      <c r="C23" s="1"/>
      <c r="D23" s="1"/>
      <c r="E23" s="1"/>
      <c r="F23" s="1"/>
      <c r="G23" s="476"/>
      <c r="H23" s="1"/>
      <c r="I23" s="1"/>
      <c r="J23" s="1"/>
      <c r="K23" s="1"/>
      <c r="L23" s="1"/>
      <c r="M23" s="1"/>
      <c r="N23" s="1"/>
      <c r="O23" s="1"/>
      <c r="P23" s="1"/>
      <c r="Q23" s="1"/>
    </row>
    <row r="24" spans="1:17">
      <c r="A24" s="476" t="s">
        <v>1101</v>
      </c>
      <c r="B24" s="476" t="s">
        <v>1102</v>
      </c>
      <c r="C24" s="1"/>
      <c r="D24" s="1"/>
      <c r="E24" s="1"/>
      <c r="F24" s="1"/>
      <c r="G24" s="476"/>
      <c r="H24" s="1"/>
      <c r="I24" s="1"/>
      <c r="J24" s="1"/>
      <c r="K24" s="1"/>
      <c r="L24" s="1"/>
      <c r="M24" s="1"/>
      <c r="N24" s="1"/>
      <c r="O24" s="1"/>
      <c r="P24" s="1"/>
      <c r="Q24" s="1"/>
    </row>
    <row r="25" spans="1:17">
      <c r="A25" s="476" t="s">
        <v>1103</v>
      </c>
      <c r="B25" s="476" t="s">
        <v>1104</v>
      </c>
      <c r="C25" s="1"/>
      <c r="D25" s="1"/>
      <c r="E25" s="1"/>
      <c r="F25" s="1"/>
      <c r="G25" s="476"/>
      <c r="H25" s="1"/>
      <c r="I25" s="1"/>
      <c r="J25" s="1"/>
      <c r="K25" s="1"/>
      <c r="L25" s="1"/>
      <c r="M25" s="1"/>
      <c r="N25" s="1"/>
      <c r="O25" s="1"/>
      <c r="P25" s="1"/>
      <c r="Q25" s="1"/>
    </row>
    <row r="26" spans="1:17">
      <c r="A26" s="476" t="s">
        <v>1105</v>
      </c>
      <c r="B26" s="476" t="s">
        <v>1106</v>
      </c>
      <c r="C26" s="1"/>
      <c r="D26" s="1"/>
      <c r="E26" s="1"/>
      <c r="F26" s="1"/>
      <c r="G26" s="476"/>
      <c r="H26" s="1"/>
      <c r="I26" s="1"/>
      <c r="J26" s="1"/>
      <c r="K26" s="1"/>
      <c r="L26" s="1"/>
      <c r="M26" s="1"/>
      <c r="N26" s="1"/>
      <c r="O26" s="1"/>
      <c r="P26" s="1"/>
      <c r="Q26" s="1"/>
    </row>
    <row r="27" spans="1:17">
      <c r="A27" s="476" t="s">
        <v>1107</v>
      </c>
      <c r="B27" s="476" t="s">
        <v>1108</v>
      </c>
      <c r="C27" s="1"/>
      <c r="D27" s="1"/>
      <c r="E27" s="1"/>
      <c r="F27" s="1"/>
      <c r="G27" s="476"/>
      <c r="H27" s="1"/>
      <c r="I27" s="1"/>
      <c r="J27" s="1"/>
      <c r="K27" s="1"/>
      <c r="L27" s="1"/>
      <c r="M27" s="1"/>
      <c r="N27" s="1"/>
      <c r="O27" s="1"/>
      <c r="P27" s="1"/>
      <c r="Q27" s="1"/>
    </row>
    <row r="28" spans="1:17">
      <c r="A28" s="476" t="s">
        <v>1109</v>
      </c>
      <c r="B28" s="476" t="s">
        <v>1110</v>
      </c>
      <c r="C28" s="1"/>
      <c r="D28" s="1"/>
      <c r="E28" s="1"/>
      <c r="F28" s="1"/>
      <c r="G28" s="476"/>
      <c r="H28" s="1"/>
      <c r="I28" s="1"/>
      <c r="J28" s="1"/>
      <c r="K28" s="1"/>
      <c r="L28" s="1"/>
      <c r="M28" s="1"/>
      <c r="N28" s="1"/>
      <c r="O28" s="1"/>
      <c r="P28" s="1"/>
      <c r="Q28" s="1"/>
    </row>
    <row r="29" spans="1:17">
      <c r="A29" s="476"/>
      <c r="B29" s="1"/>
      <c r="C29" s="1"/>
      <c r="D29" s="1"/>
      <c r="E29" s="1"/>
      <c r="F29" s="1"/>
      <c r="G29" s="1"/>
      <c r="H29" s="1"/>
      <c r="I29" s="1"/>
      <c r="J29" s="1"/>
      <c r="K29" s="1"/>
      <c r="L29" s="1"/>
      <c r="M29" s="1"/>
      <c r="N29" s="1"/>
      <c r="O29" s="1"/>
      <c r="P29" s="1"/>
      <c r="Q29" s="1"/>
    </row>
    <row r="30" spans="1:17">
      <c r="A30" s="477" t="s">
        <v>1111</v>
      </c>
      <c r="B30" s="478"/>
      <c r="C30" s="478"/>
      <c r="D30" s="478"/>
      <c r="E30" s="478"/>
      <c r="F30" s="478"/>
      <c r="G30" s="479"/>
      <c r="H30" s="478"/>
      <c r="I30" s="478"/>
      <c r="J30" s="478"/>
      <c r="K30" s="478"/>
      <c r="L30" s="478"/>
      <c r="M30" s="478"/>
      <c r="N30" s="478"/>
      <c r="O30" s="478"/>
      <c r="P30" s="478"/>
      <c r="Q30" s="478"/>
    </row>
    <row r="31" spans="1:17">
      <c r="A31" s="476" t="s">
        <v>1112</v>
      </c>
      <c r="B31" s="480" t="s">
        <v>1113</v>
      </c>
      <c r="C31" s="478"/>
      <c r="D31" s="478"/>
      <c r="E31" s="478"/>
      <c r="F31" s="478"/>
      <c r="G31" s="478"/>
      <c r="H31" s="478"/>
      <c r="I31" s="478"/>
      <c r="J31" s="478"/>
      <c r="K31" s="478"/>
      <c r="L31" s="478"/>
      <c r="M31" s="478"/>
      <c r="N31" s="478"/>
      <c r="O31" s="478"/>
      <c r="P31" s="478"/>
      <c r="Q31" s="478"/>
    </row>
    <row r="32" spans="1:17">
      <c r="A32" s="476" t="s">
        <v>1114</v>
      </c>
      <c r="B32" s="481" t="s">
        <v>1115</v>
      </c>
      <c r="C32" s="478"/>
      <c r="D32" s="478"/>
      <c r="E32" s="478"/>
      <c r="F32" s="478"/>
      <c r="G32" s="478"/>
      <c r="H32" s="478"/>
      <c r="I32" s="478"/>
      <c r="J32" s="478"/>
      <c r="K32" s="478"/>
      <c r="L32" s="478"/>
      <c r="M32" s="478"/>
      <c r="N32" s="478">
        <f>10000000*0.001*0.9*365</f>
        <v>3285000</v>
      </c>
      <c r="O32" s="478"/>
      <c r="P32" s="478"/>
      <c r="Q32" s="478"/>
    </row>
    <row r="33" spans="1:17">
      <c r="A33" s="476" t="s">
        <v>1116</v>
      </c>
      <c r="B33" s="481" t="s">
        <v>1117</v>
      </c>
      <c r="C33" s="478"/>
      <c r="D33" s="478"/>
      <c r="E33" s="478"/>
      <c r="F33" s="478"/>
      <c r="G33" s="482"/>
      <c r="H33" s="478"/>
      <c r="I33" s="478"/>
      <c r="J33" s="478"/>
      <c r="K33" s="478"/>
      <c r="L33" s="478"/>
      <c r="M33" s="478"/>
      <c r="N33" s="478"/>
      <c r="O33" s="478"/>
      <c r="P33" s="478"/>
      <c r="Q33" s="478"/>
    </row>
    <row r="34" spans="1:17">
      <c r="A34" s="476" t="s">
        <v>1118</v>
      </c>
      <c r="B34" s="481" t="s">
        <v>1119</v>
      </c>
      <c r="C34" s="478"/>
      <c r="D34" s="478"/>
      <c r="E34" s="478"/>
      <c r="F34" s="478"/>
      <c r="G34" s="483"/>
      <c r="H34" s="478"/>
      <c r="I34" s="478"/>
      <c r="J34" s="478"/>
      <c r="K34" s="478"/>
      <c r="L34" s="478"/>
      <c r="M34" s="478"/>
      <c r="N34" s="478"/>
      <c r="O34" s="478"/>
      <c r="P34" s="478"/>
      <c r="Q34" s="478"/>
    </row>
    <row r="35" spans="1:17">
      <c r="A35" s="476" t="s">
        <v>1120</v>
      </c>
      <c r="B35" s="481" t="s">
        <v>1121</v>
      </c>
      <c r="C35" s="478"/>
      <c r="D35" s="478"/>
      <c r="E35" s="478"/>
      <c r="F35" s="478"/>
      <c r="G35" s="478"/>
      <c r="H35" s="478"/>
      <c r="I35" s="478"/>
      <c r="J35" s="478"/>
      <c r="K35" s="478"/>
      <c r="L35" s="478"/>
      <c r="M35" s="478"/>
      <c r="N35" s="478"/>
      <c r="O35" s="478"/>
      <c r="P35" s="478"/>
      <c r="Q35" s="478"/>
    </row>
    <row r="36" spans="1:17">
      <c r="A36" s="476" t="s">
        <v>1122</v>
      </c>
      <c r="B36" s="484" t="s">
        <v>1123</v>
      </c>
      <c r="C36" s="478"/>
      <c r="D36" s="478"/>
      <c r="E36" s="478"/>
      <c r="F36" s="478"/>
      <c r="G36" s="478"/>
      <c r="H36" s="478"/>
      <c r="I36" s="478"/>
      <c r="J36" s="478"/>
      <c r="K36" s="478"/>
      <c r="L36" s="478"/>
      <c r="M36" s="478"/>
      <c r="N36" s="478"/>
      <c r="O36" s="478"/>
      <c r="P36" s="478"/>
      <c r="Q36" s="478"/>
    </row>
    <row r="37" spans="1:17">
      <c r="A37" s="485" t="s">
        <v>1124</v>
      </c>
      <c r="B37" s="485" t="s">
        <v>1125</v>
      </c>
      <c r="C37" s="478"/>
      <c r="D37" s="478"/>
      <c r="E37" s="478"/>
      <c r="F37" s="478"/>
      <c r="G37" s="478"/>
      <c r="H37" s="478"/>
      <c r="I37" s="478"/>
      <c r="J37" s="478"/>
      <c r="K37" s="478"/>
      <c r="L37" s="478"/>
      <c r="M37" s="478"/>
      <c r="N37" s="478"/>
      <c r="O37" s="478"/>
      <c r="P37" s="478"/>
      <c r="Q37" s="478"/>
    </row>
    <row r="38" spans="1:17">
      <c r="A38" s="484" t="s">
        <v>1126</v>
      </c>
      <c r="B38" s="484" t="s">
        <v>1127</v>
      </c>
      <c r="C38" s="478"/>
      <c r="D38" s="478"/>
      <c r="E38" s="478"/>
      <c r="F38" s="478"/>
      <c r="G38" s="478"/>
      <c r="H38" s="478"/>
      <c r="I38" s="478"/>
      <c r="J38" s="478"/>
      <c r="K38" s="478"/>
      <c r="L38" s="478"/>
      <c r="M38" s="478"/>
      <c r="N38" s="478"/>
      <c r="O38" s="478"/>
      <c r="P38" s="478"/>
      <c r="Q38" s="478"/>
    </row>
    <row r="39" spans="1:17">
      <c r="A39" s="484"/>
      <c r="B39" s="484"/>
      <c r="C39" s="530"/>
      <c r="D39" s="478"/>
      <c r="E39" s="478"/>
      <c r="F39" s="478"/>
      <c r="G39" s="478"/>
      <c r="H39" s="478"/>
      <c r="I39" s="478"/>
      <c r="J39" s="478"/>
      <c r="K39" s="478"/>
      <c r="L39" s="478"/>
      <c r="M39" s="478"/>
      <c r="N39" s="478"/>
      <c r="O39" s="478"/>
      <c r="P39" s="478"/>
      <c r="Q39" s="478"/>
    </row>
    <row r="40" spans="1:17">
      <c r="A40" s="477" t="s">
        <v>1128</v>
      </c>
      <c r="B40" s="484"/>
      <c r="C40" s="478"/>
      <c r="D40" s="478"/>
      <c r="E40" s="478"/>
      <c r="F40" s="478"/>
      <c r="G40" s="478"/>
      <c r="H40" s="478"/>
      <c r="I40" s="478"/>
      <c r="J40" s="478"/>
      <c r="K40" s="478"/>
      <c r="L40" s="478"/>
      <c r="M40" s="478"/>
      <c r="N40" s="478"/>
      <c r="O40" s="478"/>
      <c r="P40" s="478"/>
      <c r="Q40" s="478"/>
    </row>
    <row r="41" spans="1:17">
      <c r="A41" s="473" t="s">
        <v>1129</v>
      </c>
      <c r="B41" s="484" t="s">
        <v>1130</v>
      </c>
      <c r="C41" s="478"/>
      <c r="D41" s="478"/>
      <c r="E41" s="478"/>
      <c r="F41" s="478"/>
      <c r="G41" s="478"/>
      <c r="H41" s="478"/>
      <c r="I41" s="478"/>
      <c r="J41" s="478"/>
      <c r="K41" s="478"/>
      <c r="L41" s="478"/>
      <c r="M41" s="478"/>
      <c r="N41" s="478"/>
      <c r="O41" s="478"/>
      <c r="P41" s="478"/>
      <c r="Q41" s="478"/>
    </row>
    <row r="42" spans="1:17">
      <c r="A42" s="473" t="s">
        <v>1131</v>
      </c>
      <c r="B42" s="484" t="s">
        <v>1132</v>
      </c>
      <c r="C42" s="478"/>
      <c r="D42" s="478"/>
      <c r="E42" s="478"/>
      <c r="F42" s="478"/>
      <c r="G42" s="478"/>
      <c r="H42" s="478"/>
      <c r="I42" s="478"/>
      <c r="J42" s="478"/>
      <c r="K42" s="478"/>
      <c r="L42" s="478"/>
      <c r="M42" s="478"/>
      <c r="N42" s="478"/>
      <c r="O42" s="478"/>
      <c r="P42" s="478"/>
      <c r="Q42" s="478"/>
    </row>
    <row r="43" spans="1:17">
      <c r="A43" s="473"/>
      <c r="B43" s="484"/>
      <c r="C43" s="478"/>
      <c r="D43" s="478"/>
      <c r="E43" s="478"/>
      <c r="F43" s="478"/>
      <c r="G43" s="478"/>
      <c r="H43" s="478"/>
      <c r="I43" s="478"/>
      <c r="J43" s="478"/>
      <c r="K43" s="478"/>
      <c r="L43" s="478"/>
      <c r="M43" s="478"/>
      <c r="N43" s="478"/>
      <c r="O43" s="478"/>
      <c r="P43" s="478"/>
      <c r="Q43" s="478"/>
    </row>
    <row r="44" spans="1:17">
      <c r="A44" s="477" t="s">
        <v>1133</v>
      </c>
      <c r="B44" s="484" t="s">
        <v>1134</v>
      </c>
      <c r="C44" s="478"/>
      <c r="D44" s="478"/>
      <c r="E44" s="478"/>
      <c r="F44" s="478"/>
      <c r="G44" s="478"/>
      <c r="H44" s="478"/>
      <c r="I44" s="478"/>
      <c r="J44" s="478"/>
      <c r="K44" s="478"/>
      <c r="L44" s="478"/>
      <c r="M44" s="478"/>
      <c r="N44" s="478"/>
      <c r="O44" s="478"/>
      <c r="P44" s="478"/>
      <c r="Q44" s="478"/>
    </row>
    <row r="45" spans="1:17">
      <c r="A45" s="477" t="s">
        <v>1135</v>
      </c>
      <c r="B45" s="484" t="s">
        <v>1136</v>
      </c>
      <c r="C45" s="478"/>
      <c r="D45" s="478"/>
      <c r="E45" s="478"/>
      <c r="F45" s="478"/>
      <c r="G45" s="478"/>
      <c r="H45" s="478"/>
      <c r="I45" s="478"/>
      <c r="J45" s="478"/>
      <c r="K45" s="478"/>
      <c r="L45" s="478"/>
      <c r="M45" s="478"/>
      <c r="N45" s="478"/>
      <c r="O45" s="478"/>
      <c r="P45" s="478"/>
      <c r="Q45" s="478"/>
    </row>
    <row r="46" spans="1:17">
      <c r="A46" s="477"/>
      <c r="B46" s="478"/>
      <c r="C46" s="478"/>
      <c r="D46" s="478"/>
      <c r="E46" s="478"/>
      <c r="F46" s="478"/>
      <c r="G46" s="478"/>
      <c r="H46" s="478"/>
      <c r="I46" s="478"/>
      <c r="J46" s="478"/>
      <c r="K46" s="478"/>
      <c r="L46" s="478"/>
      <c r="M46" s="478"/>
      <c r="N46" s="478"/>
      <c r="O46" s="478"/>
      <c r="P46" s="478"/>
      <c r="Q46" s="478"/>
    </row>
    <row r="47" spans="1:17">
      <c r="A47" s="477" t="s">
        <v>1137</v>
      </c>
      <c r="B47" s="484" t="s">
        <v>1138</v>
      </c>
      <c r="C47" s="478"/>
      <c r="D47" s="478"/>
      <c r="E47" s="478"/>
      <c r="F47" s="478"/>
      <c r="G47" s="478"/>
      <c r="H47" s="478"/>
      <c r="I47" s="478"/>
      <c r="J47" s="478"/>
      <c r="K47" s="478"/>
      <c r="L47" s="478"/>
      <c r="M47" s="478"/>
      <c r="N47" s="478"/>
      <c r="O47" s="478"/>
      <c r="P47" s="478"/>
      <c r="Q47" s="478"/>
    </row>
    <row r="48" spans="1:17">
      <c r="A48" s="477" t="s">
        <v>1139</v>
      </c>
      <c r="B48" s="484" t="s">
        <v>1140</v>
      </c>
      <c r="C48" s="478"/>
      <c r="D48" s="478"/>
      <c r="E48" s="478"/>
      <c r="F48" s="478"/>
      <c r="G48" s="478"/>
      <c r="H48" s="478"/>
      <c r="I48" s="478"/>
      <c r="J48" s="478"/>
      <c r="K48" s="478"/>
      <c r="L48" s="478"/>
      <c r="M48" s="478"/>
      <c r="N48" s="478"/>
      <c r="O48" s="478"/>
      <c r="P48" s="478"/>
      <c r="Q48" s="478"/>
    </row>
    <row r="49" spans="1:17">
      <c r="A49" s="1"/>
      <c r="B49" s="478"/>
      <c r="C49" s="478"/>
      <c r="D49" s="478"/>
      <c r="E49" s="478"/>
      <c r="F49" s="478"/>
      <c r="G49" s="478"/>
      <c r="H49" s="478"/>
      <c r="I49" s="478"/>
      <c r="J49" s="478"/>
      <c r="K49" s="478"/>
      <c r="L49" s="478"/>
      <c r="M49" s="478"/>
      <c r="N49" s="478"/>
      <c r="O49" s="478"/>
      <c r="P49" s="478"/>
      <c r="Q49" s="478"/>
    </row>
    <row r="50" spans="1:17">
      <c r="A50" s="477" t="s">
        <v>1141</v>
      </c>
      <c r="B50" s="484" t="s">
        <v>1496</v>
      </c>
      <c r="C50" s="484"/>
      <c r="D50" s="478"/>
      <c r="E50" s="478"/>
      <c r="F50" s="478"/>
      <c r="G50" s="478"/>
      <c r="H50" s="478"/>
      <c r="I50" s="478"/>
      <c r="J50" s="478"/>
      <c r="K50" s="478"/>
      <c r="L50" s="478"/>
      <c r="M50" s="478"/>
      <c r="N50" s="478"/>
      <c r="O50" s="478"/>
      <c r="P50" s="478"/>
      <c r="Q50" s="478"/>
    </row>
    <row r="51" spans="1:17">
      <c r="A51" s="486" t="s">
        <v>1142</v>
      </c>
      <c r="B51" s="485" t="s">
        <v>1497</v>
      </c>
      <c r="C51" s="484"/>
      <c r="D51" s="478"/>
      <c r="E51" s="478"/>
      <c r="F51" s="478"/>
      <c r="G51" s="478"/>
      <c r="H51" s="478"/>
      <c r="I51" s="478"/>
      <c r="J51" s="478"/>
      <c r="K51" s="478"/>
      <c r="L51" s="478"/>
      <c r="M51" s="478"/>
      <c r="N51" s="478"/>
      <c r="O51" s="478"/>
      <c r="P51" s="478"/>
      <c r="Q51" s="478"/>
    </row>
    <row r="52" spans="1:17">
      <c r="A52" s="486"/>
      <c r="B52" s="485"/>
      <c r="C52" s="484"/>
      <c r="D52" s="478"/>
      <c r="E52" s="478"/>
      <c r="F52" s="478"/>
      <c r="G52" s="478"/>
      <c r="H52" s="478"/>
      <c r="I52" s="478"/>
      <c r="J52" s="478"/>
      <c r="K52" s="478"/>
      <c r="L52" s="478"/>
      <c r="M52" s="478"/>
      <c r="N52" s="478"/>
      <c r="O52" s="478"/>
      <c r="P52" s="478"/>
      <c r="Q52" s="478"/>
    </row>
    <row r="53" spans="1:17">
      <c r="A53" s="486" t="s">
        <v>1143</v>
      </c>
      <c r="B53" s="485" t="s">
        <v>1144</v>
      </c>
      <c r="C53" s="484"/>
      <c r="D53" s="478"/>
      <c r="E53" s="478"/>
      <c r="F53" s="478"/>
      <c r="G53" s="478"/>
      <c r="H53" s="478"/>
      <c r="I53" s="478"/>
      <c r="J53" s="478"/>
      <c r="K53" s="478"/>
      <c r="L53" s="478"/>
      <c r="M53" s="478"/>
      <c r="N53" s="478"/>
      <c r="O53" s="478"/>
      <c r="P53" s="478"/>
      <c r="Q53" s="478"/>
    </row>
    <row r="54" spans="1:17" s="832" customFormat="1">
      <c r="A54" s="486"/>
      <c r="B54" s="485"/>
      <c r="C54" s="484"/>
      <c r="D54" s="478"/>
      <c r="E54" s="478"/>
      <c r="F54" s="478"/>
      <c r="G54" s="478"/>
      <c r="H54" s="478"/>
      <c r="I54" s="478"/>
      <c r="J54" s="478"/>
      <c r="K54" s="478"/>
      <c r="L54" s="478"/>
      <c r="M54" s="478"/>
      <c r="N54" s="478"/>
      <c r="O54" s="478"/>
      <c r="P54" s="478"/>
      <c r="Q54" s="478"/>
    </row>
    <row r="55" spans="1:17" s="832" customFormat="1">
      <c r="A55" s="486" t="s">
        <v>1381</v>
      </c>
      <c r="B55" s="852">
        <v>11.727</v>
      </c>
      <c r="C55" s="484"/>
      <c r="D55" s="478"/>
      <c r="E55" s="478"/>
      <c r="F55" s="478"/>
      <c r="G55" s="478"/>
      <c r="H55" s="478"/>
      <c r="I55" s="478"/>
      <c r="J55" s="478"/>
      <c r="K55" s="478"/>
      <c r="L55" s="478"/>
      <c r="M55" s="478"/>
      <c r="N55" s="478"/>
      <c r="O55" s="478"/>
      <c r="P55" s="478"/>
      <c r="Q55" s="478"/>
    </row>
    <row r="56" spans="1:17" s="832" customFormat="1">
      <c r="A56" s="486" t="s">
        <v>1382</v>
      </c>
      <c r="B56" s="853">
        <f>1000000/B55</f>
        <v>85273.300929478981</v>
      </c>
      <c r="C56" s="484"/>
      <c r="D56" s="478"/>
      <c r="E56" s="478"/>
      <c r="F56" s="478"/>
      <c r="G56" s="478"/>
      <c r="H56" s="478"/>
      <c r="I56" s="478"/>
      <c r="J56" s="478"/>
      <c r="K56" s="478"/>
      <c r="L56" s="478"/>
      <c r="M56" s="478"/>
      <c r="N56" s="478"/>
      <c r="O56" s="478"/>
      <c r="P56" s="478"/>
      <c r="Q56" s="478"/>
    </row>
    <row r="57" spans="1:17">
      <c r="A57" s="486"/>
      <c r="B57" s="485"/>
      <c r="C57" s="478"/>
      <c r="D57" s="478"/>
      <c r="E57" s="1"/>
      <c r="F57" s="478"/>
      <c r="G57" s="478"/>
      <c r="H57" s="478"/>
      <c r="I57" s="478"/>
      <c r="J57" s="478"/>
      <c r="K57" s="478"/>
      <c r="L57" s="478"/>
      <c r="M57" s="478"/>
      <c r="N57" s="478"/>
      <c r="O57" s="478"/>
      <c r="P57" s="478"/>
      <c r="Q57" s="478"/>
    </row>
    <row r="58" spans="1:17">
      <c r="A58" s="477" t="s">
        <v>1145</v>
      </c>
      <c r="B58" s="484" t="s">
        <v>1146</v>
      </c>
      <c r="C58" s="478"/>
      <c r="D58" s="478"/>
      <c r="E58" s="478"/>
      <c r="F58" s="478"/>
      <c r="G58" s="478"/>
      <c r="H58" s="478"/>
      <c r="I58" s="478"/>
      <c r="J58" s="478"/>
      <c r="K58" s="478"/>
      <c r="L58" s="478"/>
      <c r="M58" s="478"/>
      <c r="N58" s="478"/>
      <c r="O58" s="478"/>
      <c r="P58" s="478"/>
      <c r="Q58" s="478"/>
    </row>
    <row r="59" spans="1:17">
      <c r="A59" s="477" t="s">
        <v>1147</v>
      </c>
      <c r="B59" s="484" t="s">
        <v>1148</v>
      </c>
      <c r="C59" s="478"/>
      <c r="D59" s="478"/>
      <c r="E59" s="478"/>
      <c r="F59" s="478"/>
      <c r="G59" s="478"/>
      <c r="H59" s="478"/>
      <c r="I59" s="478"/>
      <c r="J59" s="478"/>
      <c r="K59" s="478"/>
      <c r="L59" s="478"/>
      <c r="M59" s="478"/>
      <c r="N59" s="478"/>
      <c r="O59" s="478"/>
      <c r="P59" s="478"/>
      <c r="Q59" s="478"/>
    </row>
    <row r="60" spans="1:17">
      <c r="A60" s="477" t="s">
        <v>1149</v>
      </c>
      <c r="B60" s="484" t="s">
        <v>1150</v>
      </c>
      <c r="C60" s="478"/>
      <c r="D60" s="478"/>
      <c r="E60" s="478"/>
      <c r="F60" s="487"/>
      <c r="G60" s="478"/>
      <c r="H60" s="478"/>
      <c r="I60" s="478"/>
      <c r="J60" s="478"/>
      <c r="K60" s="478"/>
      <c r="L60" s="478"/>
      <c r="M60" s="478"/>
      <c r="N60" s="478"/>
      <c r="O60" s="478"/>
      <c r="P60" s="478"/>
      <c r="Q60" s="478">
        <f>100/0.88</f>
        <v>113.63636363636364</v>
      </c>
    </row>
    <row r="61" spans="1:17">
      <c r="A61" s="1"/>
      <c r="B61" s="483"/>
      <c r="C61" s="478"/>
      <c r="D61" s="478"/>
      <c r="E61" s="478"/>
      <c r="F61" s="487"/>
      <c r="G61" s="478"/>
      <c r="H61" s="478"/>
      <c r="I61" s="478"/>
      <c r="J61" s="478"/>
      <c r="K61" s="478"/>
      <c r="L61" s="478"/>
      <c r="M61" s="478"/>
      <c r="N61" s="478"/>
      <c r="O61" s="478"/>
      <c r="P61" s="478"/>
      <c r="Q61" s="478"/>
    </row>
    <row r="62" spans="1:17">
      <c r="A62" s="486" t="s">
        <v>1151</v>
      </c>
      <c r="B62" s="483"/>
      <c r="C62" s="478"/>
      <c r="D62" s="478"/>
      <c r="E62" s="478"/>
      <c r="F62" s="487"/>
      <c r="G62" s="478"/>
      <c r="H62" s="478"/>
      <c r="I62" s="478"/>
      <c r="J62" s="478"/>
      <c r="K62" s="478"/>
      <c r="L62" s="478"/>
      <c r="M62" s="478"/>
      <c r="N62" s="478"/>
      <c r="O62" s="478"/>
      <c r="P62" s="478"/>
      <c r="Q62" s="478"/>
    </row>
    <row r="63" spans="1:17">
      <c r="A63" s="486" t="s">
        <v>1152</v>
      </c>
      <c r="B63" s="484" t="str">
        <f>HYPERLINK("http://www1.eere.energy.gov/vehiclesandfuels/epact/fuel_conversion_factors.html","http://www1.eere.energy.gov/vehiclesandfuels/epact/fuel_conversion_factors.html")</f>
        <v>http://www1.eere.energy.gov/vehiclesandfuels/epact/fuel_conversion_factors.html</v>
      </c>
      <c r="C63" s="478"/>
      <c r="D63" s="478"/>
      <c r="E63" s="478"/>
      <c r="F63" s="487"/>
      <c r="G63" s="478"/>
      <c r="H63" s="478"/>
      <c r="I63" s="478"/>
      <c r="J63" s="478"/>
      <c r="K63" s="478"/>
      <c r="L63" s="478"/>
      <c r="M63" s="478"/>
      <c r="N63" s="478"/>
      <c r="O63" s="478"/>
      <c r="P63" s="478"/>
      <c r="Q63" s="478"/>
    </row>
    <row r="64" spans="1:17">
      <c r="A64" s="486" t="s">
        <v>1153</v>
      </c>
      <c r="B64" s="484" t="s">
        <v>1154</v>
      </c>
      <c r="C64" s="478"/>
      <c r="D64" s="478"/>
      <c r="E64" s="478"/>
      <c r="F64" s="487"/>
      <c r="G64" s="478"/>
      <c r="H64" s="478"/>
      <c r="I64" s="478"/>
      <c r="J64" s="478"/>
      <c r="K64" s="478"/>
      <c r="L64" s="478"/>
      <c r="M64" s="478"/>
      <c r="N64" s="478"/>
      <c r="O64" s="478"/>
      <c r="P64" s="478"/>
      <c r="Q64" s="478"/>
    </row>
    <row r="65" spans="1:17">
      <c r="A65" s="486" t="s">
        <v>1155</v>
      </c>
      <c r="B65" s="484" t="s">
        <v>1156</v>
      </c>
      <c r="C65" s="478"/>
      <c r="D65" s="478"/>
      <c r="E65" s="478"/>
      <c r="F65" s="487"/>
      <c r="G65" s="478"/>
      <c r="H65" s="478"/>
      <c r="I65" s="478"/>
      <c r="J65" s="478"/>
      <c r="K65" s="478"/>
      <c r="L65" s="478"/>
      <c r="M65" s="478"/>
      <c r="N65" s="478"/>
      <c r="O65" s="478"/>
      <c r="P65" s="478"/>
      <c r="Q65" s="478"/>
    </row>
    <row r="66" spans="1:17">
      <c r="A66" s="486" t="s">
        <v>1157</v>
      </c>
      <c r="B66" s="484" t="s">
        <v>1158</v>
      </c>
      <c r="C66" s="478"/>
      <c r="D66" s="478"/>
      <c r="E66" s="478"/>
      <c r="F66" s="487"/>
      <c r="G66" s="478"/>
      <c r="H66" s="478"/>
      <c r="I66" s="478"/>
      <c r="J66" s="478"/>
      <c r="K66" s="478"/>
      <c r="L66" s="478"/>
      <c r="M66" s="478"/>
      <c r="N66" s="478"/>
      <c r="O66" s="478"/>
      <c r="P66" s="478"/>
      <c r="Q66" s="478"/>
    </row>
    <row r="67" spans="1:17">
      <c r="A67" s="1"/>
      <c r="B67" s="483"/>
      <c r="C67" s="478"/>
      <c r="D67" s="478"/>
      <c r="E67" s="478"/>
      <c r="F67" s="487"/>
      <c r="G67" s="478"/>
      <c r="H67" s="478"/>
      <c r="I67" s="478"/>
      <c r="J67" s="478"/>
      <c r="K67" s="478"/>
      <c r="L67" s="478"/>
      <c r="M67" s="478"/>
      <c r="N67" s="478"/>
      <c r="O67" s="478"/>
      <c r="P67" s="478"/>
      <c r="Q67" s="478"/>
    </row>
    <row r="68" spans="1:17">
      <c r="A68" s="1"/>
      <c r="B68" s="483"/>
      <c r="C68" s="478"/>
      <c r="D68" s="478"/>
      <c r="E68" s="478"/>
      <c r="F68" s="487"/>
      <c r="G68" s="478"/>
      <c r="H68" s="478"/>
      <c r="I68" s="478"/>
      <c r="J68" s="478"/>
      <c r="K68" s="478"/>
      <c r="L68" s="478"/>
      <c r="M68" s="478"/>
      <c r="N68" s="478"/>
      <c r="O68" s="478"/>
      <c r="P68" s="478"/>
      <c r="Q68" s="478"/>
    </row>
    <row r="69" spans="1:17">
      <c r="A69" s="1"/>
      <c r="B69" s="483"/>
      <c r="C69" s="478"/>
      <c r="D69" s="478"/>
      <c r="E69" s="478"/>
      <c r="F69" s="487"/>
      <c r="G69" s="478"/>
      <c r="H69" s="478"/>
      <c r="I69" s="478"/>
      <c r="J69" s="478"/>
      <c r="K69" s="478"/>
      <c r="L69" s="478"/>
      <c r="M69" s="478"/>
      <c r="N69" s="478"/>
      <c r="O69" s="478"/>
      <c r="P69" s="478"/>
      <c r="Q69" s="478"/>
    </row>
    <row r="70" spans="1:17">
      <c r="A70" s="1"/>
      <c r="B70" s="483"/>
      <c r="C70" s="478"/>
      <c r="D70" s="478"/>
      <c r="E70" s="478"/>
      <c r="F70" s="487"/>
      <c r="G70" s="478"/>
      <c r="H70" s="478"/>
      <c r="I70" s="478"/>
      <c r="J70" s="478"/>
      <c r="K70" s="478"/>
      <c r="L70" s="478"/>
      <c r="M70" s="478"/>
      <c r="N70" s="478"/>
      <c r="O70" s="478"/>
      <c r="P70" s="478"/>
      <c r="Q70" s="478"/>
    </row>
    <row r="71" spans="1:17">
      <c r="A71" s="1"/>
      <c r="B71" s="488"/>
      <c r="C71" s="478"/>
      <c r="D71" s="478"/>
      <c r="E71" s="478"/>
      <c r="F71" s="487"/>
      <c r="G71" s="478"/>
      <c r="H71" s="478"/>
      <c r="I71" s="478"/>
      <c r="J71" s="478"/>
      <c r="K71" s="478"/>
      <c r="L71" s="478"/>
      <c r="M71" s="478"/>
      <c r="N71" s="478"/>
      <c r="O71" s="478"/>
      <c r="P71" s="478"/>
      <c r="Q71" s="478"/>
    </row>
    <row r="72" spans="1:17">
      <c r="A72" s="482"/>
      <c r="B72" s="488"/>
      <c r="C72" s="478"/>
      <c r="D72" s="478"/>
      <c r="E72" s="478"/>
      <c r="F72" s="487"/>
      <c r="G72" s="478"/>
      <c r="H72" s="478"/>
      <c r="I72" s="478"/>
      <c r="J72" s="478"/>
      <c r="K72" s="478"/>
      <c r="L72" s="478"/>
      <c r="M72" s="478"/>
      <c r="N72" s="478"/>
      <c r="O72" s="478"/>
      <c r="P72" s="478"/>
      <c r="Q72" s="478"/>
    </row>
    <row r="73" spans="1:17">
      <c r="A73" s="482"/>
      <c r="B73" s="488"/>
      <c r="C73" s="478"/>
      <c r="D73" s="478"/>
      <c r="E73" s="478"/>
      <c r="F73" s="487"/>
      <c r="G73" s="478"/>
      <c r="H73" s="478"/>
      <c r="I73" s="478"/>
      <c r="J73" s="478"/>
      <c r="K73" s="478"/>
      <c r="L73" s="478"/>
      <c r="M73" s="478"/>
      <c r="N73" s="478"/>
      <c r="O73" s="478"/>
      <c r="P73" s="478"/>
      <c r="Q73" s="478"/>
    </row>
    <row r="74" spans="1:17">
      <c r="A74" s="482"/>
      <c r="B74" s="488"/>
      <c r="C74" s="478"/>
      <c r="D74" s="478"/>
      <c r="E74" s="478"/>
      <c r="F74" s="487"/>
      <c r="G74" s="478"/>
      <c r="H74" s="478"/>
      <c r="I74" s="478"/>
      <c r="J74" s="478"/>
      <c r="K74" s="478"/>
      <c r="L74" s="478"/>
      <c r="M74" s="478"/>
      <c r="N74" s="478"/>
      <c r="O74" s="478"/>
      <c r="P74" s="478"/>
      <c r="Q74" s="478"/>
    </row>
    <row r="75" spans="1:17">
      <c r="A75" s="482"/>
      <c r="B75" s="483"/>
      <c r="C75" s="478"/>
      <c r="D75" s="478"/>
      <c r="E75" s="478"/>
      <c r="F75" s="487"/>
      <c r="G75" s="478"/>
      <c r="H75" s="478"/>
      <c r="I75" s="478"/>
      <c r="J75" s="478"/>
      <c r="K75" s="478"/>
      <c r="L75" s="478"/>
      <c r="M75" s="478"/>
      <c r="N75" s="478"/>
      <c r="O75" s="478"/>
      <c r="P75" s="478"/>
      <c r="Q75" s="478"/>
    </row>
    <row r="76" spans="1:17">
      <c r="A76" s="489"/>
      <c r="B76" s="479"/>
      <c r="C76" s="478"/>
      <c r="D76" s="478"/>
      <c r="E76" s="478"/>
      <c r="F76" s="487"/>
      <c r="G76" s="478"/>
      <c r="H76" s="478"/>
      <c r="I76" s="478"/>
      <c r="J76" s="478"/>
      <c r="K76" s="478"/>
      <c r="L76" s="478"/>
      <c r="M76" s="478"/>
      <c r="N76" s="478"/>
      <c r="O76" s="478"/>
      <c r="P76" s="478"/>
      <c r="Q76" s="478"/>
    </row>
    <row r="77" spans="1:17">
      <c r="A77" s="489"/>
      <c r="B77" s="479"/>
      <c r="C77" s="478"/>
      <c r="D77" s="478"/>
      <c r="E77" s="478"/>
      <c r="F77" s="487"/>
      <c r="G77" s="478"/>
      <c r="H77" s="478"/>
      <c r="I77" s="478"/>
      <c r="J77" s="478"/>
      <c r="K77" s="478"/>
      <c r="L77" s="478"/>
      <c r="M77" s="478"/>
      <c r="N77" s="478"/>
      <c r="O77" s="478"/>
      <c r="P77" s="478"/>
      <c r="Q77" s="478"/>
    </row>
    <row r="78" spans="1:17">
      <c r="A78" s="489"/>
      <c r="B78" s="478"/>
      <c r="C78" s="478"/>
      <c r="D78" s="478"/>
      <c r="E78" s="478"/>
      <c r="F78" s="487"/>
      <c r="G78" s="478"/>
      <c r="H78" s="478"/>
      <c r="I78" s="478"/>
      <c r="J78" s="478"/>
      <c r="K78" s="478"/>
      <c r="L78" s="478"/>
      <c r="M78" s="478"/>
      <c r="N78" s="478"/>
      <c r="O78" s="478"/>
      <c r="P78" s="478"/>
      <c r="Q78" s="478"/>
    </row>
    <row r="79" spans="1:17">
      <c r="A79" s="489"/>
      <c r="B79" s="478"/>
      <c r="C79" s="478"/>
      <c r="D79" s="478"/>
      <c r="E79" s="478"/>
      <c r="F79" s="487"/>
      <c r="G79" s="478"/>
      <c r="H79" s="478"/>
      <c r="I79" s="478"/>
      <c r="J79" s="478"/>
      <c r="K79" s="478"/>
      <c r="L79" s="478"/>
      <c r="M79" s="478"/>
      <c r="N79" s="478"/>
      <c r="O79" s="478"/>
      <c r="P79" s="478"/>
      <c r="Q79" s="478"/>
    </row>
    <row r="80" spans="1:17">
      <c r="A80" s="482"/>
      <c r="B80" s="478"/>
      <c r="C80" s="478"/>
      <c r="D80" s="478"/>
      <c r="E80" s="478"/>
      <c r="F80" s="487"/>
      <c r="G80" s="478"/>
      <c r="H80" s="478"/>
      <c r="I80" s="478"/>
      <c r="J80" s="478"/>
      <c r="K80" s="478"/>
      <c r="L80" s="478"/>
      <c r="M80" s="478"/>
      <c r="N80" s="478"/>
      <c r="O80" s="478"/>
      <c r="P80" s="478"/>
      <c r="Q80" s="478"/>
    </row>
    <row r="81" spans="1:17">
      <c r="A81" s="482"/>
      <c r="B81" s="483"/>
      <c r="C81" s="478"/>
      <c r="D81" s="478"/>
      <c r="E81" s="478"/>
      <c r="F81" s="487"/>
      <c r="G81" s="478"/>
      <c r="H81" s="478"/>
      <c r="I81" s="478"/>
      <c r="J81" s="478"/>
      <c r="K81" s="478"/>
      <c r="L81" s="478"/>
      <c r="M81" s="478"/>
      <c r="N81" s="478"/>
      <c r="O81" s="478"/>
      <c r="P81" s="478"/>
      <c r="Q81" s="478"/>
    </row>
    <row r="82" spans="1:17">
      <c r="A82" s="482"/>
      <c r="B82" s="478"/>
      <c r="C82" s="478"/>
      <c r="D82" s="478"/>
      <c r="E82" s="478"/>
      <c r="F82" s="487"/>
      <c r="G82" s="478"/>
      <c r="H82" s="478"/>
      <c r="I82" s="478"/>
      <c r="J82" s="478"/>
      <c r="K82" s="478"/>
      <c r="L82" s="478"/>
      <c r="M82" s="478"/>
      <c r="N82" s="478"/>
      <c r="O82" s="478"/>
      <c r="P82" s="478"/>
      <c r="Q82" s="478"/>
    </row>
  </sheetData>
  <hyperlinks>
    <hyperlink ref="B64" r:id="rId1"/>
    <hyperlink ref="B6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Farms and Ag</vt:lpstr>
      <vt:lpstr>Food Waste</vt:lpstr>
      <vt:lpstr>Landfills</vt:lpstr>
      <vt:lpstr>WWT</vt:lpstr>
      <vt:lpstr>Totals </vt:lpstr>
      <vt:lpstr>OPERATIONAL PROJECTS LIST</vt:lpstr>
      <vt:lpstr>List Values</vt:lpstr>
      <vt:lpstr>Reference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vos@energy-vision.org</dc:creator>
  <cp:lastModifiedBy>Mintz, Marianne M.</cp:lastModifiedBy>
  <cp:lastPrinted>2019-08-27T23:14:29Z</cp:lastPrinted>
  <dcterms:created xsi:type="dcterms:W3CDTF">2018-12-14T14:47:28Z</dcterms:created>
  <dcterms:modified xsi:type="dcterms:W3CDTF">2020-07-14T15:40:00Z</dcterms:modified>
</cp:coreProperties>
</file>